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isti.khonsari\Desktop\"/>
    </mc:Choice>
  </mc:AlternateContent>
  <xr:revisionPtr revIDLastSave="0" documentId="8_{2EB98976-2B32-406C-A4C1-C90644A3CE79}" xr6:coauthVersionLast="46" xr6:coauthVersionMax="46" xr10:uidLastSave="{00000000-0000-0000-0000-000000000000}"/>
  <bookViews>
    <workbookView xWindow="-108" yWindow="-108" windowWidth="23256" windowHeight="12576" xr2:uid="{727ACF62-004E-46A3-BFFF-39520B61DE71}"/>
  </bookViews>
  <sheets>
    <sheet name="Eligible Payroll Cost" sheetId="2" r:id="rId1"/>
    <sheet name="Payroll Cost Adjustment" sheetId="1" r:id="rId2"/>
    <sheet name="Reviewer Worksheet" sheetId="6" state="hidden" r:id="rId3"/>
    <sheet name="Underwriting Worksheet" sheetId="5" state="hidden" r:id="rId4"/>
    <sheet name="Data Validation" sheetId="3" state="hidden" r:id="rId5"/>
    <sheet name="Forgiveness Prep Tab" sheetId="4" state="hidden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2" l="1"/>
  <c r="E8" i="2"/>
  <c r="J20" i="2"/>
  <c r="G21" i="2" l="1"/>
  <c r="AA107" i="1"/>
  <c r="K19" i="2"/>
  <c r="J19" i="2"/>
  <c r="J21" i="2" s="1"/>
  <c r="E11" i="2"/>
  <c r="I20" i="2"/>
  <c r="I19" i="2"/>
  <c r="A15" i="2"/>
  <c r="E17" i="2"/>
  <c r="E16" i="2"/>
  <c r="E15" i="2"/>
  <c r="E14" i="2"/>
  <c r="E13" i="2"/>
  <c r="A19" i="2"/>
  <c r="A18" i="2"/>
  <c r="A17" i="2"/>
  <c r="A16" i="2"/>
  <c r="C21" i="2"/>
  <c r="C27" i="2" s="1"/>
  <c r="A21" i="2" l="1"/>
  <c r="N1" i="2"/>
  <c r="H25" i="5" l="1"/>
  <c r="C9" i="6" l="1"/>
  <c r="R8" i="6" l="1"/>
  <c r="D9" i="5" l="1"/>
  <c r="E9" i="5"/>
  <c r="L9" i="5" l="1"/>
  <c r="R23" i="6" l="1"/>
  <c r="R22" i="6"/>
  <c r="M27" i="6"/>
  <c r="M26" i="6"/>
  <c r="M25" i="6"/>
  <c r="M24" i="6"/>
  <c r="M23" i="6"/>
  <c r="M22" i="6"/>
  <c r="C8" i="5" l="1"/>
  <c r="H13" i="5" l="1"/>
  <c r="O19" i="6" l="1"/>
  <c r="O18" i="6" l="1"/>
  <c r="I6" i="5" l="1"/>
  <c r="A8" i="6"/>
  <c r="I5" i="5" l="1"/>
  <c r="D7" i="5"/>
  <c r="H16" i="5" l="1"/>
  <c r="L22" i="5"/>
  <c r="A27" i="6" l="1"/>
  <c r="F27" i="6" s="1"/>
  <c r="O17" i="6"/>
  <c r="M33" i="6" l="1"/>
  <c r="Q33" i="6" s="1"/>
  <c r="M32" i="6"/>
  <c r="Q32" i="6" s="1"/>
  <c r="M31" i="6"/>
  <c r="Q31" i="6" s="1"/>
  <c r="O13" i="6"/>
  <c r="L20" i="6" l="1"/>
  <c r="A22" i="6" l="1"/>
  <c r="C31" i="6" l="1"/>
  <c r="T5" i="6"/>
  <c r="J31" i="6"/>
  <c r="C22" i="6"/>
  <c r="M34" i="6"/>
  <c r="Q34" i="6" s="1"/>
  <c r="F31" i="6"/>
  <c r="A31" i="6"/>
  <c r="A26" i="6"/>
  <c r="F35" i="6" s="1"/>
  <c r="A25" i="6"/>
  <c r="F34" i="6" s="1"/>
  <c r="A24" i="6"/>
  <c r="F33" i="6" s="1"/>
  <c r="A23" i="6"/>
  <c r="F23" i="6" s="1"/>
  <c r="O16" i="6"/>
  <c r="O15" i="6"/>
  <c r="O14" i="6"/>
  <c r="A33" i="6" l="1"/>
  <c r="F26" i="6"/>
  <c r="F24" i="6"/>
  <c r="A34" i="6"/>
  <c r="F25" i="6"/>
  <c r="A32" i="6"/>
  <c r="F32" i="6"/>
  <c r="A35" i="6"/>
  <c r="L21" i="5"/>
  <c r="L20" i="5"/>
  <c r="L19" i="5"/>
  <c r="L18" i="5"/>
  <c r="L17" i="5"/>
  <c r="D5" i="5"/>
  <c r="E10" i="2"/>
  <c r="L15" i="5" l="1"/>
  <c r="O20" i="5" s="1"/>
  <c r="H9" i="5"/>
  <c r="M24" i="5" l="1"/>
  <c r="I27" i="5" s="1"/>
  <c r="I29" i="5" s="1"/>
  <c r="O17" i="5"/>
  <c r="O18" i="5"/>
  <c r="H23" i="5"/>
  <c r="H22" i="5"/>
  <c r="H21" i="5"/>
  <c r="H20" i="5"/>
  <c r="H19" i="5"/>
  <c r="H18" i="5"/>
  <c r="H17" i="5"/>
  <c r="F24" i="5"/>
  <c r="E24" i="5"/>
  <c r="C17" i="5"/>
  <c r="C22" i="5"/>
  <c r="C23" i="5"/>
  <c r="C21" i="5"/>
  <c r="C20" i="5"/>
  <c r="C19" i="5"/>
  <c r="C18" i="5"/>
  <c r="C16" i="5"/>
  <c r="A13" i="5"/>
  <c r="F12" i="5"/>
  <c r="M29" i="5" l="1"/>
  <c r="F13" i="5"/>
  <c r="E25" i="5" l="1"/>
  <c r="O12" i="5"/>
  <c r="O11" i="5"/>
  <c r="O10" i="5"/>
  <c r="O9" i="5"/>
  <c r="O8" i="5"/>
  <c r="O7" i="5"/>
  <c r="O6" i="5"/>
  <c r="O5" i="5"/>
  <c r="A41" i="4" l="1"/>
  <c r="A40" i="4"/>
  <c r="A39" i="4"/>
  <c r="A38" i="4"/>
  <c r="A37" i="4"/>
  <c r="A36" i="4"/>
  <c r="A35" i="4"/>
  <c r="A34" i="4"/>
  <c r="A33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32" i="4"/>
  <c r="A26" i="4"/>
  <c r="A22" i="4"/>
  <c r="A12" i="4"/>
  <c r="A31" i="4"/>
  <c r="A30" i="4"/>
  <c r="A29" i="4"/>
  <c r="A28" i="4"/>
  <c r="A27" i="4"/>
  <c r="A25" i="4"/>
  <c r="A24" i="4"/>
  <c r="A23" i="4"/>
  <c r="A21" i="4"/>
  <c r="A20" i="4"/>
  <c r="A19" i="4"/>
  <c r="A18" i="4"/>
  <c r="A17" i="4"/>
  <c r="A16" i="4"/>
  <c r="A15" i="4"/>
  <c r="A14" i="4"/>
  <c r="A13" i="4"/>
  <c r="A11" i="4"/>
  <c r="A10" i="4"/>
  <c r="A9" i="4"/>
  <c r="A8" i="4"/>
  <c r="A7" i="4"/>
  <c r="A6" i="4"/>
  <c r="A5" i="4"/>
  <c r="A4" i="4"/>
  <c r="A3" i="4"/>
  <c r="A2" i="4"/>
  <c r="X106" i="1" l="1"/>
  <c r="V106" i="1"/>
  <c r="Q106" i="1"/>
  <c r="N106" i="1"/>
  <c r="L106" i="1"/>
  <c r="I106" i="1"/>
  <c r="G106" i="1"/>
  <c r="D106" i="1"/>
  <c r="B106" i="1"/>
  <c r="V91" i="1"/>
  <c r="Q91" i="1"/>
  <c r="L91" i="1"/>
  <c r="G91" i="1"/>
  <c r="B91" i="1"/>
  <c r="V87" i="1"/>
  <c r="Q87" i="1"/>
  <c r="L87" i="1"/>
  <c r="G87" i="1"/>
  <c r="B87" i="1"/>
  <c r="V81" i="1"/>
  <c r="Q81" i="1"/>
  <c r="L81" i="1"/>
  <c r="G81" i="1"/>
  <c r="B81" i="1"/>
  <c r="V77" i="1"/>
  <c r="Q77" i="1"/>
  <c r="L77" i="1"/>
  <c r="G77" i="1"/>
  <c r="B77" i="1"/>
  <c r="X72" i="1"/>
  <c r="S72" i="1"/>
  <c r="N72" i="1"/>
  <c r="I72" i="1"/>
  <c r="D72" i="1"/>
  <c r="V71" i="1"/>
  <c r="Q71" i="1"/>
  <c r="L71" i="1"/>
  <c r="G71" i="1"/>
  <c r="B71" i="1"/>
  <c r="B68" i="1"/>
  <c r="B70" i="1" s="1"/>
  <c r="V67" i="1"/>
  <c r="V68" i="1" s="1"/>
  <c r="V70" i="1" s="1"/>
  <c r="Q67" i="1"/>
  <c r="Q68" i="1" s="1"/>
  <c r="Q70" i="1" s="1"/>
  <c r="L67" i="1"/>
  <c r="L68" i="1" s="1"/>
  <c r="L70" i="1" s="1"/>
  <c r="G67" i="1"/>
  <c r="G68" i="1" s="1"/>
  <c r="G70" i="1" s="1"/>
  <c r="B67" i="1"/>
  <c r="V61" i="1"/>
  <c r="Q61" i="1"/>
  <c r="L61" i="1"/>
  <c r="G61" i="1"/>
  <c r="B61" i="1"/>
  <c r="V57" i="1"/>
  <c r="V58" i="1" s="1"/>
  <c r="V60" i="1" s="1"/>
  <c r="V62" i="1" s="1"/>
  <c r="Q57" i="1"/>
  <c r="L57" i="1"/>
  <c r="L58" i="1" s="1"/>
  <c r="L60" i="1" s="1"/>
  <c r="L62" i="1" s="1"/>
  <c r="G57" i="1"/>
  <c r="G58" i="1" s="1"/>
  <c r="G60" i="1" s="1"/>
  <c r="G62" i="1" s="1"/>
  <c r="B57" i="1"/>
  <c r="B58" i="1" s="1"/>
  <c r="B60" i="1" s="1"/>
  <c r="B62" i="1" s="1"/>
  <c r="V51" i="1"/>
  <c r="Q51" i="1"/>
  <c r="L51" i="1"/>
  <c r="G51" i="1"/>
  <c r="B51" i="1"/>
  <c r="V47" i="1"/>
  <c r="Q47" i="1"/>
  <c r="Q48" i="1" s="1"/>
  <c r="Q50" i="1" s="1"/>
  <c r="L47" i="1"/>
  <c r="L48" i="1" s="1"/>
  <c r="G47" i="1"/>
  <c r="G48" i="1" s="1"/>
  <c r="B47" i="1"/>
  <c r="B48" i="1" s="1"/>
  <c r="B50" i="1" s="1"/>
  <c r="B52" i="1" s="1"/>
  <c r="V41" i="1"/>
  <c r="Q41" i="1"/>
  <c r="L41" i="1"/>
  <c r="G41" i="1"/>
  <c r="B41" i="1"/>
  <c r="V37" i="1"/>
  <c r="V38" i="1" s="1"/>
  <c r="V40" i="1" s="1"/>
  <c r="Q37" i="1"/>
  <c r="Q38" i="1" s="1"/>
  <c r="Q40" i="1" s="1"/>
  <c r="L37" i="1"/>
  <c r="G37" i="1"/>
  <c r="G38" i="1" s="1"/>
  <c r="G40" i="1" s="1"/>
  <c r="G42" i="1" s="1"/>
  <c r="B37" i="1"/>
  <c r="B38" i="1" s="1"/>
  <c r="B40" i="1" s="1"/>
  <c r="B42" i="1" s="1"/>
  <c r="V31" i="1"/>
  <c r="Q31" i="1"/>
  <c r="L31" i="1"/>
  <c r="G31" i="1"/>
  <c r="B31" i="1"/>
  <c r="V27" i="1"/>
  <c r="V28" i="1" s="1"/>
  <c r="V30" i="1" s="1"/>
  <c r="V32" i="1" s="1"/>
  <c r="Q27" i="1"/>
  <c r="Q28" i="1" s="1"/>
  <c r="Q30" i="1" s="1"/>
  <c r="Q32" i="1" s="1"/>
  <c r="L27" i="1"/>
  <c r="L28" i="1" s="1"/>
  <c r="L30" i="1" s="1"/>
  <c r="G27" i="1"/>
  <c r="G28" i="1" s="1"/>
  <c r="G30" i="1" s="1"/>
  <c r="B27" i="1"/>
  <c r="B28" i="1" s="1"/>
  <c r="B30" i="1" s="1"/>
  <c r="B32" i="1" s="1"/>
  <c r="V21" i="1"/>
  <c r="Q21" i="1"/>
  <c r="L21" i="1"/>
  <c r="G21" i="1"/>
  <c r="B21" i="1"/>
  <c r="V17" i="1"/>
  <c r="V18" i="1" s="1"/>
  <c r="V20" i="1" s="1"/>
  <c r="V22" i="1" s="1"/>
  <c r="Q17" i="1"/>
  <c r="Q18" i="1" s="1"/>
  <c r="Q20" i="1" s="1"/>
  <c r="L17" i="1"/>
  <c r="L18" i="1" s="1"/>
  <c r="L20" i="1" s="1"/>
  <c r="L22" i="1" s="1"/>
  <c r="G17" i="1"/>
  <c r="G18" i="1" s="1"/>
  <c r="G20" i="1" s="1"/>
  <c r="B17" i="1"/>
  <c r="B18" i="1" s="1"/>
  <c r="B20" i="1" s="1"/>
  <c r="V11" i="1"/>
  <c r="Q11" i="1"/>
  <c r="L11" i="1"/>
  <c r="G11" i="1"/>
  <c r="B11" i="1"/>
  <c r="V7" i="1"/>
  <c r="Q7" i="1"/>
  <c r="L7" i="1"/>
  <c r="G7" i="1"/>
  <c r="B7" i="1"/>
  <c r="V101" i="1"/>
  <c r="Q101" i="1"/>
  <c r="L101" i="1"/>
  <c r="G101" i="1"/>
  <c r="B101" i="1"/>
  <c r="V97" i="1"/>
  <c r="V98" i="1" s="1"/>
  <c r="V100" i="1" s="1"/>
  <c r="V102" i="1" s="1"/>
  <c r="Q97" i="1"/>
  <c r="Q98" i="1" s="1"/>
  <c r="Q100" i="1" s="1"/>
  <c r="L97" i="1"/>
  <c r="L98" i="1" s="1"/>
  <c r="L100" i="1" s="1"/>
  <c r="L102" i="1" s="1"/>
  <c r="G97" i="1"/>
  <c r="G98" i="1" s="1"/>
  <c r="G100" i="1" s="1"/>
  <c r="G102" i="1" s="1"/>
  <c r="B97" i="1"/>
  <c r="B98" i="1" s="1"/>
  <c r="B100" i="1" s="1"/>
  <c r="B102" i="1" s="1"/>
  <c r="L38" i="1"/>
  <c r="L40" i="1" s="1"/>
  <c r="L42" i="1" s="1"/>
  <c r="X102" i="1"/>
  <c r="V99" i="1"/>
  <c r="X92" i="1"/>
  <c r="V89" i="1"/>
  <c r="X82" i="1"/>
  <c r="V79" i="1"/>
  <c r="V69" i="1"/>
  <c r="X62" i="1"/>
  <c r="V59" i="1"/>
  <c r="X52" i="1"/>
  <c r="V49" i="1"/>
  <c r="V48" i="1"/>
  <c r="V50" i="1" s="1"/>
  <c r="V52" i="1" s="1"/>
  <c r="X42" i="1"/>
  <c r="V39" i="1"/>
  <c r="X32" i="1"/>
  <c r="V29" i="1"/>
  <c r="X22" i="1"/>
  <c r="V19" i="1"/>
  <c r="X12" i="1"/>
  <c r="V9" i="1"/>
  <c r="S102" i="1"/>
  <c r="Q99" i="1"/>
  <c r="S92" i="1"/>
  <c r="Q89" i="1"/>
  <c r="S82" i="1"/>
  <c r="Q79" i="1"/>
  <c r="Q69" i="1"/>
  <c r="S62" i="1"/>
  <c r="Q59" i="1"/>
  <c r="Q58" i="1"/>
  <c r="Q60" i="1" s="1"/>
  <c r="Q62" i="1" s="1"/>
  <c r="S52" i="1"/>
  <c r="Q49" i="1"/>
  <c r="S42" i="1"/>
  <c r="Q39" i="1"/>
  <c r="S32" i="1"/>
  <c r="Q29" i="1"/>
  <c r="S22" i="1"/>
  <c r="Q19" i="1"/>
  <c r="S12" i="1"/>
  <c r="S106" i="1" s="1"/>
  <c r="Q9" i="1"/>
  <c r="N102" i="1"/>
  <c r="L99" i="1"/>
  <c r="N92" i="1"/>
  <c r="L89" i="1"/>
  <c r="N82" i="1"/>
  <c r="L79" i="1"/>
  <c r="L69" i="1"/>
  <c r="N62" i="1"/>
  <c r="L59" i="1"/>
  <c r="N52" i="1"/>
  <c r="L49" i="1"/>
  <c r="N42" i="1"/>
  <c r="L39" i="1"/>
  <c r="N32" i="1"/>
  <c r="L29" i="1"/>
  <c r="N22" i="1"/>
  <c r="L19" i="1"/>
  <c r="N12" i="1"/>
  <c r="L9" i="1"/>
  <c r="I102" i="1"/>
  <c r="G99" i="1"/>
  <c r="I92" i="1"/>
  <c r="G89" i="1"/>
  <c r="I82" i="1"/>
  <c r="G79" i="1"/>
  <c r="G69" i="1"/>
  <c r="I62" i="1"/>
  <c r="G59" i="1"/>
  <c r="I52" i="1"/>
  <c r="G49" i="1"/>
  <c r="I42" i="1"/>
  <c r="G39" i="1"/>
  <c r="I32" i="1"/>
  <c r="G29" i="1"/>
  <c r="I22" i="1"/>
  <c r="G19" i="1"/>
  <c r="I12" i="1"/>
  <c r="G9" i="1"/>
  <c r="D102" i="1"/>
  <c r="B99" i="1"/>
  <c r="D92" i="1"/>
  <c r="B89" i="1"/>
  <c r="D82" i="1"/>
  <c r="B79" i="1"/>
  <c r="B69" i="1"/>
  <c r="D62" i="1"/>
  <c r="B59" i="1"/>
  <c r="D52" i="1"/>
  <c r="B49" i="1"/>
  <c r="D42" i="1"/>
  <c r="B39" i="1"/>
  <c r="D32" i="1"/>
  <c r="B29" i="1"/>
  <c r="D22" i="1"/>
  <c r="B19" i="1"/>
  <c r="D12" i="1"/>
  <c r="B9" i="1"/>
  <c r="AA106" i="1" l="1"/>
  <c r="L32" i="1"/>
  <c r="Q102" i="1"/>
  <c r="V42" i="1"/>
  <c r="B22" i="1"/>
  <c r="Q42" i="1"/>
  <c r="B8" i="1"/>
  <c r="B78" i="1"/>
  <c r="B80" i="1" s="1"/>
  <c r="B82" i="1" s="1"/>
  <c r="G78" i="1"/>
  <c r="G80" i="1" s="1"/>
  <c r="G82" i="1" s="1"/>
  <c r="G8" i="1"/>
  <c r="L8" i="1"/>
  <c r="L78" i="1"/>
  <c r="L80" i="1" s="1"/>
  <c r="Q78" i="1"/>
  <c r="Q80" i="1" s="1"/>
  <c r="Q82" i="1" s="1"/>
  <c r="Q8" i="1"/>
  <c r="V8" i="1"/>
  <c r="V78" i="1"/>
  <c r="V80" i="1" s="1"/>
  <c r="G32" i="1"/>
  <c r="Q52" i="1"/>
  <c r="G22" i="1"/>
  <c r="G50" i="1"/>
  <c r="G52" i="1" s="1"/>
  <c r="Q22" i="1"/>
  <c r="L50" i="1"/>
  <c r="L52" i="1" s="1"/>
  <c r="V82" i="1" l="1"/>
  <c r="L82" i="1"/>
  <c r="B10" i="1"/>
  <c r="B12" i="1" s="1"/>
  <c r="B72" i="1"/>
  <c r="B88" i="1"/>
  <c r="B90" i="1" s="1"/>
  <c r="B92" i="1" s="1"/>
  <c r="V10" i="1"/>
  <c r="V12" i="1" s="1"/>
  <c r="V72" i="1"/>
  <c r="V88" i="1"/>
  <c r="V90" i="1" s="1"/>
  <c r="V92" i="1" s="1"/>
  <c r="L10" i="1"/>
  <c r="L12" i="1" s="1"/>
  <c r="L88" i="1"/>
  <c r="L90" i="1" s="1"/>
  <c r="L92" i="1" s="1"/>
  <c r="L72" i="1"/>
  <c r="Q10" i="1"/>
  <c r="Q12" i="1" s="1"/>
  <c r="Q88" i="1"/>
  <c r="Q90" i="1" s="1"/>
  <c r="Q72" i="1"/>
  <c r="G10" i="1"/>
  <c r="G12" i="1" s="1"/>
  <c r="G88" i="1"/>
  <c r="G90" i="1" s="1"/>
  <c r="G92" i="1" s="1"/>
  <c r="G72" i="1"/>
  <c r="E30" i="2" l="1"/>
  <c r="C30" i="2"/>
  <c r="D6" i="5" s="1"/>
  <c r="D4" i="5"/>
  <c r="Q92" i="1"/>
  <c r="M27" i="5" l="1"/>
</calcChain>
</file>

<file path=xl/sharedStrings.xml><?xml version="1.0" encoding="utf-8"?>
<sst xmlns="http://schemas.openxmlformats.org/spreadsheetml/2006/main" count="864" uniqueCount="276">
  <si>
    <t>Employee Earning GREATER THAN $100,000 on an annualized basis</t>
  </si>
  <si>
    <t>EMPLOYEES 1-10</t>
  </si>
  <si>
    <t>EMPLOYEES 11-20</t>
  </si>
  <si>
    <t>EMPLOYEES 21-30</t>
  </si>
  <si>
    <t>EMPLOYEES 31-40</t>
  </si>
  <si>
    <t>EMPLOYEES 41-50</t>
  </si>
  <si>
    <t>High Cost Employees 1-10 LESS Than 1 Year TOTAL</t>
  </si>
  <si>
    <t>High Cost Employees 11-20 LESS Than 1 Year TOTAL</t>
  </si>
  <si>
    <t>High Cost Employees 21-30 LESS Than 1 Year TOTAL</t>
  </si>
  <si>
    <t>High Cost Employees 31-40 LESS Than 1 Year TOTAL</t>
  </si>
  <si>
    <t>High Cost Employees 41-50 LESS Than 1 Year TOTAL</t>
  </si>
  <si>
    <t>Total</t>
  </si>
  <si>
    <t>EMPLOYEE #1</t>
  </si>
  <si>
    <t>Hired LESS than 1 year ago</t>
  </si>
  <si>
    <t>Hired MORE than 1 year ago</t>
  </si>
  <si>
    <t>High Cost Employees 1-10 MORE Than 1 Year Total</t>
  </si>
  <si>
    <t>High Cost Employees 11-20 MORE Than 1 Year TOTAL</t>
  </si>
  <si>
    <t>High Cost Employees 21-30 MORE Than 1 Year TOTAL</t>
  </si>
  <si>
    <t>High Cost Employees 31-40 MORE Than 1 Year TOTAL</t>
  </si>
  <si>
    <t>High Cost Employees 41-50 MORE Than 1 Year TOTAL</t>
  </si>
  <si>
    <t>Total Pay Earned</t>
  </si>
  <si>
    <t># of months worked</t>
  </si>
  <si>
    <t>Sum</t>
  </si>
  <si>
    <t>Annualized Pay</t>
  </si>
  <si>
    <t>Monthly Pay</t>
  </si>
  <si>
    <t>Monthly Pay Limit</t>
  </si>
  <si>
    <t>Difference</t>
  </si>
  <si>
    <t>Adjustment to Total Annual Regular Pay</t>
  </si>
  <si>
    <t>Please enter the payroll information below to calculate your maximum loan amount</t>
  </si>
  <si>
    <t>Are you a seasonal employer?</t>
  </si>
  <si>
    <t>Yes</t>
  </si>
  <si>
    <t>No</t>
  </si>
  <si>
    <t>Are you using a payroll company such as ADP, Gusto or Paychex?</t>
  </si>
  <si>
    <t xml:space="preserve">Do you have any employees earning &gt;$100,000 on an annualized basis? </t>
  </si>
  <si>
    <t>Gross Calculation</t>
  </si>
  <si>
    <t>Copy and Paste as Values the data below into the Payroll Costs tab</t>
  </si>
  <si>
    <t>Gross Receipts</t>
  </si>
  <si>
    <t>All revenue in whatever form received/accrued from whatever source:</t>
  </si>
  <si>
    <t>Interest and Dividends</t>
  </si>
  <si>
    <t>Rents, Royalties, Fees or Commissons</t>
  </si>
  <si>
    <t>Reduced by Returns and Allowances, excluding net capital gains and losses</t>
  </si>
  <si>
    <t>Does Not Include:</t>
  </si>
  <si>
    <t>Proceeds from transactions between a concern and its domestic/foreign affiliates</t>
  </si>
  <si>
    <t>Amounts collected for another by a travel agent, real estate agent, advertising agent, conference mgmt service provider, freight forwarder or customs broker</t>
  </si>
  <si>
    <t>Gross amount received as contributions, gifts, grants and similar amounts</t>
  </si>
  <si>
    <t>Gross amount received as dues of assessments from members or affiliated organizations</t>
  </si>
  <si>
    <t>Gross sales or receipts from business activities (including business activities unrelated to the purpose for which the organization qualifies for exemption)</t>
  </si>
  <si>
    <t>Gross amount received from the sale of assets</t>
  </si>
  <si>
    <t>Gross amount received as investment income, e.g. interest, dividends, rents and royalties</t>
  </si>
  <si>
    <t>None of these amounts are reduced by the costs of generating these revenues</t>
  </si>
  <si>
    <t>General Info</t>
  </si>
  <si>
    <t>ForProfit</t>
  </si>
  <si>
    <t>NonProfit</t>
  </si>
  <si>
    <t>What are "Gross Receipts" for a for-profit business?</t>
  </si>
  <si>
    <t>What are "Gross Receipts" for a non-profit business?</t>
  </si>
  <si>
    <t>What do you need help with?</t>
  </si>
  <si>
    <t>Gross Receipts for for-profit businesses include:</t>
  </si>
  <si>
    <t>Gross Receipts for non-profit businesses include, but are not limited to:</t>
  </si>
  <si>
    <t>Do "Gross Receipts" include PPP loan proceeds (or EIDL advances) that are forgiven?</t>
  </si>
  <si>
    <t>No. The amount of any forgiven First Draw PPP Loan or any EIDL advance, not subject to federal income tax, is not included in the gross receipt calc</t>
  </si>
  <si>
    <t>Borrower Data</t>
  </si>
  <si>
    <t>Verified by FHB</t>
  </si>
  <si>
    <t>This depends on how long the applicant has been in business</t>
  </si>
  <si>
    <t>Applicants may alternatively compare gross annual receipts from 2020 with 2019 gross annual receipts, if they were in business in 2019</t>
  </si>
  <si>
    <t>For entities not in business during Q1-Q3 2019, applicants must demonstrate that gross receipts in any quarter of 2020 were at least 25% lower than Q4 2019</t>
  </si>
  <si>
    <t>Applicants must demonstrate gross receipts in any calender 2020 quarter were at least 25 % lower than the same quarter 2019.</t>
  </si>
  <si>
    <t>For entities not in business in Q1 or Q2 2019, applicants must demonstrate that gross receipts of any quarter of 2020 were at least 25% lower than Q3/Q4 2019</t>
  </si>
  <si>
    <t>For entities not in business in 2019 but in operation on 2/15/2020, applicants must demonstrate that gross receipts in Q2-Q4 2020 were at least 25% lower than Q1 2020.</t>
  </si>
  <si>
    <t>What reference periods can be used to determine a 25% gross loss?</t>
  </si>
  <si>
    <t>Eligible Payroll Cost:</t>
  </si>
  <si>
    <t>What documentation is required to prove a 25% reduction?</t>
  </si>
  <si>
    <t>Only one of the following is required:</t>
  </si>
  <si>
    <t>Quarterly financial statements for the entity (if unaudited, first page must be signed &amp; dated and all other pages initialed)</t>
  </si>
  <si>
    <t>If the financial statements do not specifically identify gross receipts, applicant must annotate.</t>
  </si>
  <si>
    <t>Quarterly or monthly bank statements for the entity showing deposits from the relevant quarters.</t>
  </si>
  <si>
    <t>Applicant must annotate, if not clear, which deposits constitute gross receipts and which do not.</t>
  </si>
  <si>
    <t xml:space="preserve">Annual IRS income tax filings of the entity (required if using an annual reference period). </t>
  </si>
  <si>
    <t>If the entity has yet to file for 2020, applicant must fill out the return forms, compute the relevant gross receipts value then sign and date the form</t>
  </si>
  <si>
    <t>attesting that these are the values that will be filed on the entity's return.</t>
  </si>
  <si>
    <t>What numbers on tax forms do I use to find gross receipts?</t>
  </si>
  <si>
    <t>Will vary depending on the entity tax return type:</t>
  </si>
  <si>
    <t>For self-employed (other than farmers/ranchers): sum of line 4 and line 7 on IRS Form 1040 Sched. C</t>
  </si>
  <si>
    <t>For self-employed farmers/ranchers, sum of lines 1b and 9 on IRS Form 1040 Sched. F</t>
  </si>
  <si>
    <t>For partnerships: sum of lines 2 and 8, minus line 6 on IRS Form 1065.</t>
  </si>
  <si>
    <t>For S-Corps: sum of lines 2 and 6, minus line 4 on IRS Form 1120-S.</t>
  </si>
  <si>
    <t>For C-Corps: sum of lines 2 and 11, minus lines 8 and 9 on IRS Form 1120.</t>
  </si>
  <si>
    <t>For non-profits: the sum of lines 6b(i), 6b(ii), 7b(i), 7b(ii), 8b, 9b, 10b and 12 (column A) of Part VIII on form 990</t>
  </si>
  <si>
    <t>For non-profits (EZ): sum of lines 5b, 6c, 7b and 9 of Part I on IRS Form 990-EZ)</t>
  </si>
  <si>
    <t>LLCs: follow instructions that apply to their tax filing status</t>
  </si>
  <si>
    <t>Biz Types</t>
  </si>
  <si>
    <t>Self-Employed (Non-Farmer)</t>
  </si>
  <si>
    <t>Self-Employed (Farmer/Rancher)</t>
  </si>
  <si>
    <t>Partnership</t>
  </si>
  <si>
    <t>C-Corp</t>
  </si>
  <si>
    <t>S-Corp</t>
  </si>
  <si>
    <t>LLC</t>
  </si>
  <si>
    <t>Non-Profit (Form 990)</t>
  </si>
  <si>
    <t>Non-Profit (Form 990-EZ)</t>
  </si>
  <si>
    <t>Select the tax filing status of the LLC</t>
  </si>
  <si>
    <t>When does the borrower need to provide documentation to prove the reductin in gross recipts?</t>
  </si>
  <si>
    <t>For loan amounts greater than $150,000, the applicant must provide doumentation substantiating</t>
  </si>
  <si>
    <t>the reduction in gross receipts with its application</t>
  </si>
  <si>
    <t>For loan amounts of $150,000 or less, the borrower must provide documentaton before or at the time the borrower seeks forgiveness.</t>
  </si>
  <si>
    <t>The documentation must clearly identify the reference quarters, contain the gross receipt amounts for both quarters</t>
  </si>
  <si>
    <t>and support the amounts provided.</t>
  </si>
  <si>
    <t>Documenting reduction in gross receipts if borrower files taxes on a fiscal year basis?</t>
  </si>
  <si>
    <t>Entities that use a fiscal year to files taxes may document a reduction in gross receipts</t>
  </si>
  <si>
    <t>with income tax returns only if their fiscal year contains all of the second, third and fourth quarters of the calendar year</t>
  </si>
  <si>
    <t>i.e. have a fiscal year start date of February 1, March 1 or April 1</t>
  </si>
  <si>
    <t>Gross Receipt Total:</t>
  </si>
  <si>
    <t>Reduction %age:</t>
  </si>
  <si>
    <t>1040 Sched C</t>
  </si>
  <si>
    <t>Maximum Loan Amount Calculator</t>
  </si>
  <si>
    <t>Entity Type:</t>
  </si>
  <si>
    <t>Loan Calc</t>
  </si>
  <si>
    <t>Self-Employed, no employees</t>
  </si>
  <si>
    <t>Self-Employed, employees</t>
  </si>
  <si>
    <t>Self-Employed, farmer</t>
  </si>
  <si>
    <t>S/C-Corp</t>
  </si>
  <si>
    <t>Non-Profit Org</t>
  </si>
  <si>
    <t>Non-Profit, Religious/Veteran/Tribal</t>
  </si>
  <si>
    <t>Enter Amounts Below:</t>
  </si>
  <si>
    <t>1040 Sched C/941s</t>
  </si>
  <si>
    <t>1040 Sched F</t>
  </si>
  <si>
    <t>Form 1065 &amp; K-1 / 941s</t>
  </si>
  <si>
    <t>1120-S/1120/941s</t>
  </si>
  <si>
    <t>990/990-EZ/941</t>
  </si>
  <si>
    <t>941s</t>
  </si>
  <si>
    <t>NAICS 72?</t>
  </si>
  <si>
    <t>Line 4:</t>
  </si>
  <si>
    <t>Line 1b:</t>
  </si>
  <si>
    <t>Line 2:</t>
  </si>
  <si>
    <t>Line 6b(i):</t>
  </si>
  <si>
    <t>Line 5b:</t>
  </si>
  <si>
    <t>Line 6c:</t>
  </si>
  <si>
    <t>Line 7:</t>
  </si>
  <si>
    <t>Line 9:</t>
  </si>
  <si>
    <t>Line 8:</t>
  </si>
  <si>
    <t>Line 6:</t>
  </si>
  <si>
    <t>Line 11:</t>
  </si>
  <si>
    <t>Line 6b(ii):</t>
  </si>
  <si>
    <t>Line 7b(i):</t>
  </si>
  <si>
    <t>Line 7b :</t>
  </si>
  <si>
    <t>Line 7b(iii):</t>
  </si>
  <si>
    <t>Line 8b:</t>
  </si>
  <si>
    <t>Line 9b:</t>
  </si>
  <si>
    <t>Line 10b:</t>
  </si>
  <si>
    <t>Line 12:</t>
  </si>
  <si>
    <t>Gross Receipt Reduction Caculator</t>
  </si>
  <si>
    <t>Gross Receipt Calc</t>
  </si>
  <si>
    <t>Tax Forms</t>
  </si>
  <si>
    <t>Financial Statements</t>
  </si>
  <si>
    <t>Bank Statements</t>
  </si>
  <si>
    <t>Max Loan Calc</t>
  </si>
  <si>
    <t>Schedule F, Line 9:</t>
  </si>
  <si>
    <t>Box 14a - Box 12 -Any Depletion:</t>
  </si>
  <si>
    <t>941, Line 5c-Column 1 (for each quarter):</t>
  </si>
  <si>
    <t>Self-Employed, farmer w/employees</t>
  </si>
  <si>
    <t>Schedule F, Line 15:</t>
  </si>
  <si>
    <t>Schedule F, Line 23:</t>
  </si>
  <si>
    <t>Schedule F, Line 22:</t>
  </si>
  <si>
    <t>Form 1065, Line 18 (Cannot include partner):</t>
  </si>
  <si>
    <t>Any employer state/local taxes:</t>
  </si>
  <si>
    <t>Form 1065, Line 19 (Cannot include partner):</t>
  </si>
  <si>
    <t>Pre-Tax Employee Contributions, Health Ins, etc.:</t>
  </si>
  <si>
    <t>Any amts &gt;$100k paid to employees:</t>
  </si>
  <si>
    <t>Form 1120, Line 24 or Form 1120-S, Line 18:</t>
  </si>
  <si>
    <t>Form 1120, Line 23 or Form 1120-S, Line 17:</t>
  </si>
  <si>
    <t>Form 990, Part XI, Line 9:</t>
  </si>
  <si>
    <t>Form 990, Part IX, Line 8:</t>
  </si>
  <si>
    <t>Employer Group Health/Life/Disability/Vision/Dental:</t>
  </si>
  <si>
    <t>Employer retirement contributions:</t>
  </si>
  <si>
    <t>Coaches</t>
  </si>
  <si>
    <t>Emma Olson</t>
  </si>
  <si>
    <t>Stephen Studzinski</t>
  </si>
  <si>
    <t>William Chappell</t>
  </si>
  <si>
    <t>https://teams.microsoft.com/l/chat/0/0?users=Emma.Olson@firsthomebank.com</t>
  </si>
  <si>
    <t>https://teams.microsoft.com/l/chat/0/0?users=william.chappell@firsthomebank.com</t>
  </si>
  <si>
    <t>Unemployment Tax:</t>
  </si>
  <si>
    <t>Health Benefits:</t>
  </si>
  <si>
    <t>Wages &amp; Tips:</t>
  </si>
  <si>
    <t>Retirement Benefits:</t>
  </si>
  <si>
    <t>State/Local Taxes:</t>
  </si>
  <si>
    <t>Payroll Reports/Other Docs</t>
  </si>
  <si>
    <t>Total:</t>
  </si>
  <si>
    <t>1040 Sched F/943</t>
  </si>
  <si>
    <t>Maximum Loan Amount:</t>
  </si>
  <si>
    <t xml:space="preserve">Calculated Loan Amount: </t>
  </si>
  <si>
    <t xml:space="preserve">Are you a startup/in business less than 1 year? </t>
  </si>
  <si>
    <t>Need help finding your NAICS? Click here</t>
  </si>
  <si>
    <t>If your NAICS begins with 72, it changes the calculation for your maximum loan amount. Businesses with those NAICS are eligible for 3.5x monthly payroll.</t>
  </si>
  <si>
    <t>PPP Loan Calculator</t>
  </si>
  <si>
    <t>PPP Round 2 Underwriting Form</t>
  </si>
  <si>
    <t>Borrower Loan Amount:</t>
  </si>
  <si>
    <t>Click here for the full SBA FAQ</t>
  </si>
  <si>
    <t>Reviewer Name:</t>
  </si>
  <si>
    <t>Enter Owner Names:</t>
  </si>
  <si>
    <t>Borrower Name:</t>
  </si>
  <si>
    <t>Use COGS for this Section (Pull COGS if not Pulled)</t>
  </si>
  <si>
    <t>Does business name match ?</t>
  </si>
  <si>
    <t>Does business type match application?</t>
  </si>
  <si>
    <t>Affiliates ? (3 or 4) answered No or verified Affiliate Addendum in file?</t>
  </si>
  <si>
    <t>State of Formation listed is Domestic?</t>
  </si>
  <si>
    <t xml:space="preserve">Voided Check info matches Funding Info Screen? </t>
  </si>
  <si>
    <t>Is the Status Active or in Good Standing?</t>
  </si>
  <si>
    <t>Did the borrower provide evidence of rev reduction?</t>
  </si>
  <si>
    <t>OFAC in file and clear for:</t>
  </si>
  <si>
    <t>Photo ID for:</t>
  </si>
  <si>
    <t>Expiration Date:</t>
  </si>
  <si>
    <t>Ind. Borrower</t>
  </si>
  <si>
    <t>SAM Check in file and clear for:</t>
  </si>
  <si>
    <t>N/A</t>
  </si>
  <si>
    <t>501c(3)</t>
  </si>
  <si>
    <t>501c(6)</t>
  </si>
  <si>
    <t>Corp</t>
  </si>
  <si>
    <t>Housing Co-op</t>
  </si>
  <si>
    <t>Independent Contractor</t>
  </si>
  <si>
    <t>Self-Employed Individual</t>
  </si>
  <si>
    <t>Sole Prop</t>
  </si>
  <si>
    <t>Tribal Business</t>
  </si>
  <si>
    <t>Co Types</t>
  </si>
  <si>
    <t>https://teams.microsoft.com/l/chat/0/0?users=Stephen.Studzinski@Firsthomebank.com</t>
  </si>
  <si>
    <t>Select your coach's name from the dropdown menu:</t>
  </si>
  <si>
    <t>Click here to IM your coach --&gt;</t>
  </si>
  <si>
    <t xml:space="preserve">All doc renaming complete? </t>
  </si>
  <si>
    <t>Signer Name:</t>
  </si>
  <si>
    <t>Did the borrower provide the 2019 Return?</t>
  </si>
  <si>
    <t>Less 1099 Employees:</t>
  </si>
  <si>
    <r>
      <rPr>
        <b/>
        <sz val="14"/>
        <color rgb="FF00416B"/>
        <rFont val="Calibri"/>
        <family val="2"/>
        <scheme val="minor"/>
      </rPr>
      <t>1</t>
    </r>
    <r>
      <rPr>
        <b/>
        <sz val="11"/>
        <color rgb="FF00416B"/>
        <rFont val="Calibri"/>
        <family val="2"/>
        <scheme val="minor"/>
      </rPr>
      <t>. What docs were provided?</t>
    </r>
  </si>
  <si>
    <t>App Number:</t>
  </si>
  <si>
    <t>Reviewer:</t>
  </si>
  <si>
    <t>Underwriter:</t>
  </si>
  <si>
    <t>Kent Coenen</t>
  </si>
  <si>
    <t>Palak Engel</t>
  </si>
  <si>
    <t>https://teams.microsoft.com/l/chat/0/0?users=Palak.Engel@firsthomebank.com</t>
  </si>
  <si>
    <t>Uwing Coaches</t>
  </si>
  <si>
    <t>App ID:</t>
  </si>
  <si>
    <t>Review Type</t>
  </si>
  <si>
    <t>Processing Only</t>
  </si>
  <si>
    <t>Payroll Review</t>
  </si>
  <si>
    <t>Revenue Reduction</t>
  </si>
  <si>
    <t>Full UW</t>
  </si>
  <si>
    <t>Review Type:</t>
  </si>
  <si>
    <t>PPP Round 2 Reviewer Form</t>
  </si>
  <si>
    <t>Is there a date in the CIP Field?</t>
  </si>
  <si>
    <t>Avg. Monthly Payroll:</t>
  </si>
  <si>
    <t>Help Section</t>
  </si>
  <si>
    <t>Click here for the SBA FAQ</t>
  </si>
  <si>
    <t>Click here to email the borrower</t>
  </si>
  <si>
    <t>Email Stuff</t>
  </si>
  <si>
    <t>Emma.Olson@firsthomebank.com</t>
  </si>
  <si>
    <t>Stephen.Studzinski@firsthomebank.com</t>
  </si>
  <si>
    <t>Enter the borrower's email here:</t>
  </si>
  <si>
    <t>Click Below for Email Templates</t>
  </si>
  <si>
    <t>Is there a DBA?</t>
  </si>
  <si>
    <t>Eric Van Gessel</t>
  </si>
  <si>
    <t>https://teams.microsoft.com/l/chat/0/0?users=eric.vangessel@firsthomebank.com</t>
  </si>
  <si>
    <t>https://teams.microsoft.com/l/chat/0/0?users=kent.coenen@firsthomebank.com</t>
  </si>
  <si>
    <t>Clear CAIVRS &amp; SSN Verified?</t>
  </si>
  <si>
    <t>Travis Bain</t>
  </si>
  <si>
    <t>https://teams.microsoft.com/l/chat/0/0?users=Travis.Bain@firsthomebank.com</t>
  </si>
  <si>
    <t>Travis.Bain@firsthomebank.com</t>
  </si>
  <si>
    <t>On Sched C Report or Have a Sched C?</t>
  </si>
  <si>
    <t>On Schedule C Report or has Sched C:</t>
  </si>
  <si>
    <t>Schedule C, Line 7:</t>
  </si>
  <si>
    <t>Schedule C, Line 14:</t>
  </si>
  <si>
    <t>Schedule C, Line 19:</t>
  </si>
  <si>
    <t>Schedule C, Line 26:</t>
  </si>
  <si>
    <t>941s (Full Year), Line 5c-Column 1/940, Line 3:</t>
  </si>
  <si>
    <t xml:space="preserve">Need to speak with a coach? </t>
  </si>
  <si>
    <r>
      <rPr>
        <b/>
        <sz val="12"/>
        <color rgb="FF00416B"/>
        <rFont val="Calibri"/>
        <family val="2"/>
        <scheme val="minor"/>
      </rPr>
      <t>1.</t>
    </r>
    <r>
      <rPr>
        <b/>
        <sz val="14"/>
        <color rgb="FFFF0000"/>
        <rFont val="Calibri"/>
        <family val="2"/>
        <scheme val="minor"/>
      </rPr>
      <t xml:space="preserve"> </t>
    </r>
    <r>
      <rPr>
        <b/>
        <sz val="11"/>
        <color rgb="FF00416B"/>
        <rFont val="Calibri"/>
        <family val="2"/>
        <scheme val="minor"/>
      </rPr>
      <t>What docs were provided?</t>
    </r>
  </si>
  <si>
    <r>
      <rPr>
        <b/>
        <sz val="12"/>
        <color rgb="FF00416B"/>
        <rFont val="Calibri"/>
        <family val="2"/>
        <scheme val="minor"/>
      </rPr>
      <t>2.</t>
    </r>
    <r>
      <rPr>
        <b/>
        <sz val="11"/>
        <color rgb="FF00416B"/>
        <rFont val="Calibri"/>
        <family val="2"/>
        <scheme val="minor"/>
      </rPr>
      <t xml:space="preserve"> In operation &lt; 12 mos.?</t>
    </r>
  </si>
  <si>
    <r>
      <rPr>
        <b/>
        <sz val="12"/>
        <color rgb="FF00416B"/>
        <rFont val="Calibri"/>
        <family val="2"/>
        <scheme val="minor"/>
      </rPr>
      <t>3.</t>
    </r>
    <r>
      <rPr>
        <b/>
        <sz val="11"/>
        <color rgb="FF00416B"/>
        <rFont val="Calibri"/>
        <family val="2"/>
        <scheme val="minor"/>
      </rPr>
      <t xml:space="preserve"> NAICS 72?</t>
    </r>
  </si>
  <si>
    <t xml:space="preserve">Are you a Schedule C filer? </t>
  </si>
  <si>
    <t>Does your business' NAICS begin with 72?</t>
  </si>
  <si>
    <t>Use this one Aly: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</si>
</sst>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;\-0;;@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00416B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1"/>
      <color rgb="FF00416B"/>
      <name val="Calibri"/>
      <family val="2"/>
      <scheme val="minor"/>
    </font>
    <font>
      <sz val="11"/>
      <color rgb="FF00416B"/>
      <name val="Calibri"/>
      <family val="2"/>
      <scheme val="minor"/>
    </font>
    <font>
      <b/>
      <sz val="14"/>
      <color rgb="FFF2D10A"/>
      <name val="Calibri"/>
      <family val="2"/>
      <scheme val="minor"/>
    </font>
    <font>
      <u/>
      <sz val="11"/>
      <color rgb="FF00416B"/>
      <name val="Calibri"/>
      <family val="2"/>
      <scheme val="minor"/>
    </font>
    <font>
      <b/>
      <sz val="10"/>
      <color rgb="FF00416B"/>
      <name val="Calibri"/>
      <family val="2"/>
      <scheme val="minor"/>
    </font>
    <font>
      <sz val="12"/>
      <color rgb="FF00416B"/>
      <name val="Calibri"/>
      <family val="2"/>
      <scheme val="minor"/>
    </font>
    <font>
      <b/>
      <sz val="12"/>
      <color rgb="FF00416B"/>
      <name val="Calibri"/>
      <family val="2"/>
      <scheme val="minor"/>
    </font>
    <font>
      <b/>
      <sz val="16"/>
      <color rgb="FF00416B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F2D10A"/>
      <name val="Calibri"/>
      <family val="2"/>
      <scheme val="minor"/>
    </font>
    <font>
      <b/>
      <sz val="14"/>
      <color rgb="FF00416B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rgb="FF00416B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theme="1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1"/>
      <color theme="1"/>
      <name val="Wingdings"/>
      <charset val="2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416B"/>
        <bgColor indexed="64"/>
      </patternFill>
    </fill>
    <fill>
      <patternFill patternType="solid">
        <fgColor rgb="FFF2D10A"/>
        <bgColor indexed="64"/>
      </patternFill>
    </fill>
    <fill>
      <patternFill patternType="solid">
        <fgColor theme="7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F2D10A"/>
      </left>
      <right/>
      <top style="medium">
        <color rgb="FFF2D10A"/>
      </top>
      <bottom/>
      <diagonal/>
    </border>
    <border>
      <left/>
      <right/>
      <top style="medium">
        <color rgb="FFF2D10A"/>
      </top>
      <bottom/>
      <diagonal/>
    </border>
    <border>
      <left/>
      <right style="medium">
        <color rgb="FFF2D10A"/>
      </right>
      <top style="medium">
        <color rgb="FFF2D10A"/>
      </top>
      <bottom/>
      <diagonal/>
    </border>
    <border>
      <left/>
      <right/>
      <top/>
      <bottom style="medium">
        <color rgb="FFF2D10A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416B"/>
      </left>
      <right style="medium">
        <color rgb="FF00416B"/>
      </right>
      <top style="medium">
        <color rgb="FF00416B"/>
      </top>
      <bottom style="medium">
        <color rgb="FF00416B"/>
      </bottom>
      <diagonal/>
    </border>
    <border>
      <left style="medium">
        <color rgb="FFF2D10A"/>
      </left>
      <right/>
      <top/>
      <bottom/>
      <diagonal/>
    </border>
    <border>
      <left/>
      <right style="medium">
        <color rgb="FFF2D10A"/>
      </right>
      <top/>
      <bottom/>
      <diagonal/>
    </border>
    <border>
      <left style="medium">
        <color rgb="FF00416B"/>
      </left>
      <right/>
      <top style="medium">
        <color rgb="FF00416B"/>
      </top>
      <bottom style="medium">
        <color rgb="FF00416B"/>
      </bottom>
      <diagonal/>
    </border>
    <border>
      <left/>
      <right/>
      <top style="medium">
        <color rgb="FF00416B"/>
      </top>
      <bottom style="medium">
        <color rgb="FF00416B"/>
      </bottom>
      <diagonal/>
    </border>
    <border>
      <left/>
      <right style="medium">
        <color rgb="FF00416B"/>
      </right>
      <top style="medium">
        <color rgb="FF00416B"/>
      </top>
      <bottom style="medium">
        <color rgb="FF00416B"/>
      </bottom>
      <diagonal/>
    </border>
    <border>
      <left/>
      <right/>
      <top/>
      <bottom style="medium">
        <color rgb="FF00416B"/>
      </bottom>
      <diagonal/>
    </border>
    <border>
      <left/>
      <right style="thin">
        <color rgb="FF00416B"/>
      </right>
      <top style="medium">
        <color rgb="FF00416B"/>
      </top>
      <bottom style="thin">
        <color rgb="FF00416B"/>
      </bottom>
      <diagonal/>
    </border>
    <border>
      <left/>
      <right style="thin">
        <color rgb="FF00416B"/>
      </right>
      <top style="thin">
        <color rgb="FF00416B"/>
      </top>
      <bottom style="thin">
        <color rgb="FF00416B"/>
      </bottom>
      <diagonal/>
    </border>
    <border>
      <left/>
      <right style="thin">
        <color rgb="FF00416B"/>
      </right>
      <top style="thin">
        <color rgb="FF00416B"/>
      </top>
      <bottom style="medium">
        <color rgb="FF00416B"/>
      </bottom>
      <diagonal/>
    </border>
    <border>
      <left/>
      <right style="thin">
        <color indexed="64"/>
      </right>
      <top/>
      <bottom style="thin">
        <color rgb="FF00416B"/>
      </bottom>
      <diagonal/>
    </border>
    <border>
      <left/>
      <right style="thin">
        <color rgb="FF00416B"/>
      </right>
      <top/>
      <bottom style="thin">
        <color rgb="FF00416B"/>
      </bottom>
      <diagonal/>
    </border>
    <border>
      <left/>
      <right style="thin">
        <color rgb="FF00416B"/>
      </right>
      <top/>
      <bottom style="medium">
        <color rgb="FF00416B"/>
      </bottom>
      <diagonal/>
    </border>
    <border>
      <left style="thin">
        <color rgb="FF00416B"/>
      </left>
      <right style="thin">
        <color rgb="FF00416B"/>
      </right>
      <top style="thin">
        <color rgb="FF00416B"/>
      </top>
      <bottom style="thin">
        <color rgb="FF00416B"/>
      </bottom>
      <diagonal/>
    </border>
    <border>
      <left style="thin">
        <color rgb="FF00416B"/>
      </left>
      <right/>
      <top style="thin">
        <color rgb="FF00416B"/>
      </top>
      <bottom/>
      <diagonal/>
    </border>
    <border>
      <left/>
      <right/>
      <top style="thin">
        <color rgb="FF00416B"/>
      </top>
      <bottom/>
      <diagonal/>
    </border>
    <border>
      <left/>
      <right style="thin">
        <color rgb="FF00416B"/>
      </right>
      <top style="thin">
        <color rgb="FF00416B"/>
      </top>
      <bottom/>
      <diagonal/>
    </border>
    <border>
      <left style="thin">
        <color rgb="FF00416B"/>
      </left>
      <right/>
      <top/>
      <bottom/>
      <diagonal/>
    </border>
    <border>
      <left/>
      <right style="thin">
        <color rgb="FF00416B"/>
      </right>
      <top/>
      <bottom/>
      <diagonal/>
    </border>
    <border>
      <left style="thin">
        <color rgb="FF00416B"/>
      </left>
      <right/>
      <top/>
      <bottom style="thin">
        <color rgb="FF00416B"/>
      </bottom>
      <diagonal/>
    </border>
    <border>
      <left/>
      <right/>
      <top/>
      <bottom style="thin">
        <color rgb="FF00416B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rgb="FF00416B"/>
      </left>
      <right style="thin">
        <color rgb="FF00416B"/>
      </right>
      <top style="medium">
        <color rgb="FF00416B"/>
      </top>
      <bottom style="thin">
        <color rgb="FF00416B"/>
      </bottom>
      <diagonal/>
    </border>
    <border>
      <left style="thin">
        <color rgb="FF00416B"/>
      </left>
      <right style="thin">
        <color rgb="FF00416B"/>
      </right>
      <top style="thin">
        <color rgb="FF00416B"/>
      </top>
      <bottom style="medium">
        <color rgb="FF00416B"/>
      </bottom>
      <diagonal/>
    </border>
    <border>
      <left style="medium">
        <color auto="1"/>
      </left>
      <right style="thin">
        <color rgb="FF00416B"/>
      </right>
      <top style="medium">
        <color rgb="FF00416B"/>
      </top>
      <bottom style="medium">
        <color auto="1"/>
      </bottom>
      <diagonal/>
    </border>
    <border>
      <left/>
      <right style="thin">
        <color rgb="FF00416B"/>
      </right>
      <top style="thin">
        <color auto="1"/>
      </top>
      <bottom style="thin">
        <color auto="1"/>
      </bottom>
      <diagonal/>
    </border>
    <border>
      <left/>
      <right style="thin">
        <color rgb="FF00416B"/>
      </right>
      <top style="thin">
        <color indexed="64"/>
      </top>
      <bottom/>
      <diagonal/>
    </border>
    <border>
      <left/>
      <right style="thin">
        <color rgb="FF00416B"/>
      </right>
      <top style="thin">
        <color indexed="64"/>
      </top>
      <bottom style="medium">
        <color rgb="FF00416B"/>
      </bottom>
      <diagonal/>
    </border>
    <border>
      <left style="medium">
        <color rgb="FF00416B"/>
      </left>
      <right style="medium">
        <color rgb="FF00416B"/>
      </right>
      <top style="medium">
        <color rgb="FF00416B"/>
      </top>
      <bottom/>
      <diagonal/>
    </border>
    <border>
      <left style="medium">
        <color rgb="FF00416B"/>
      </left>
      <right style="medium">
        <color rgb="FF00416B"/>
      </right>
      <top/>
      <bottom/>
      <diagonal/>
    </border>
    <border>
      <left style="medium">
        <color rgb="FF00416B"/>
      </left>
      <right style="medium">
        <color rgb="FF00416B"/>
      </right>
      <top/>
      <bottom style="medium">
        <color rgb="FF00416B"/>
      </bottom>
      <diagonal/>
    </border>
    <border>
      <left style="thin">
        <color rgb="FF00416B"/>
      </left>
      <right style="thin">
        <color indexed="64"/>
      </right>
      <top style="medium">
        <color rgb="FF00416B"/>
      </top>
      <bottom style="thin">
        <color rgb="FF00416B"/>
      </bottom>
      <diagonal/>
    </border>
    <border>
      <left style="thin">
        <color rgb="FF00416B"/>
      </left>
      <right/>
      <top style="thin">
        <color rgb="FF00416B"/>
      </top>
      <bottom style="thin">
        <color rgb="FF00416B"/>
      </bottom>
      <diagonal/>
    </border>
    <border>
      <left style="thin">
        <color rgb="FF00416B"/>
      </left>
      <right/>
      <top style="thin">
        <color rgb="FF00416B"/>
      </top>
      <bottom style="medium">
        <color rgb="FF00416B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rgb="FF00416B"/>
      </top>
      <bottom style="thin">
        <color rgb="FF00416B"/>
      </bottom>
      <diagonal/>
    </border>
    <border>
      <left style="thin">
        <color rgb="FFF2D10A"/>
      </left>
      <right/>
      <top style="thin">
        <color rgb="FFF2D10A"/>
      </top>
      <bottom/>
      <diagonal/>
    </border>
    <border>
      <left/>
      <right/>
      <top style="thin">
        <color rgb="FFF2D10A"/>
      </top>
      <bottom/>
      <diagonal/>
    </border>
    <border>
      <left/>
      <right style="thin">
        <color rgb="FFF2D10A"/>
      </right>
      <top style="thin">
        <color rgb="FFF2D10A"/>
      </top>
      <bottom/>
      <diagonal/>
    </border>
    <border>
      <left style="thin">
        <color rgb="FFF2D10A"/>
      </left>
      <right/>
      <top/>
      <bottom style="thin">
        <color rgb="FFF2D10A"/>
      </bottom>
      <diagonal/>
    </border>
    <border>
      <left/>
      <right/>
      <top/>
      <bottom style="thin">
        <color rgb="FFF2D10A"/>
      </bottom>
      <diagonal/>
    </border>
    <border>
      <left/>
      <right style="thin">
        <color rgb="FFF2D10A"/>
      </right>
      <top/>
      <bottom style="thin">
        <color rgb="FFF2D10A"/>
      </bottom>
      <diagonal/>
    </border>
    <border>
      <left/>
      <right/>
      <top style="thin">
        <color rgb="FF00416B"/>
      </top>
      <bottom style="thin">
        <color rgb="FF00416B"/>
      </bottom>
      <diagonal/>
    </border>
    <border>
      <left/>
      <right/>
      <top style="medium">
        <color auto="1"/>
      </top>
      <bottom style="medium">
        <color rgb="FF00416B"/>
      </bottom>
      <diagonal/>
    </border>
    <border>
      <left/>
      <right/>
      <top style="medium">
        <color rgb="FF00416B"/>
      </top>
      <bottom/>
      <diagonal/>
    </border>
    <border>
      <left/>
      <right style="thin">
        <color rgb="FF00416B"/>
      </right>
      <top style="medium">
        <color rgb="FF00416B"/>
      </top>
      <bottom/>
      <diagonal/>
    </border>
    <border>
      <left style="thin">
        <color rgb="FF00416B"/>
      </left>
      <right/>
      <top style="thin">
        <color rgb="FFF2D10A"/>
      </top>
      <bottom/>
      <diagonal/>
    </border>
    <border>
      <left/>
      <right style="thin">
        <color rgb="FF00416B"/>
      </right>
      <top style="thin">
        <color rgb="FFF2D10A"/>
      </top>
      <bottom/>
      <diagonal/>
    </border>
    <border>
      <left style="thin">
        <color rgb="FF00416B"/>
      </left>
      <right/>
      <top/>
      <bottom style="thin">
        <color rgb="FFF2D10A"/>
      </bottom>
      <diagonal/>
    </border>
    <border>
      <left/>
      <right style="thin">
        <color rgb="FF00416B"/>
      </right>
      <top/>
      <bottom style="thin">
        <color rgb="FFF2D10A"/>
      </bottom>
      <diagonal/>
    </border>
    <border>
      <left/>
      <right style="thin">
        <color rgb="FF00416B"/>
      </right>
      <top/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00">
    <xf numFmtId="0" fontId="0" fillId="0" borderId="0" xfId="0"/>
    <xf numFmtId="0" fontId="3" fillId="0" borderId="1" xfId="0" applyFont="1" applyBorder="1"/>
    <xf numFmtId="44" fontId="0" fillId="0" borderId="2" xfId="1" applyFont="1" applyBorder="1"/>
    <xf numFmtId="0" fontId="0" fillId="0" borderId="2" xfId="0" applyBorder="1"/>
    <xf numFmtId="44" fontId="0" fillId="0" borderId="3" xfId="1" applyFont="1" applyBorder="1"/>
    <xf numFmtId="0" fontId="0" fillId="0" borderId="4" xfId="0" applyBorder="1"/>
    <xf numFmtId="44" fontId="0" fillId="0" borderId="0" xfId="1" applyFont="1" applyBorder="1"/>
    <xf numFmtId="44" fontId="0" fillId="0" borderId="5" xfId="1" applyFont="1" applyBorder="1"/>
    <xf numFmtId="0" fontId="0" fillId="0" borderId="4" xfId="0" applyBorder="1" applyAlignment="1">
      <alignment horizontal="right"/>
    </xf>
    <xf numFmtId="44" fontId="2" fillId="2" borderId="6" xfId="2" applyNumberFormat="1" applyBorder="1" applyProtection="1">
      <protection locked="0"/>
    </xf>
    <xf numFmtId="2" fontId="2" fillId="2" borderId="6" xfId="2" applyNumberFormat="1" applyBorder="1" applyProtection="1">
      <protection locked="0"/>
    </xf>
    <xf numFmtId="2" fontId="1" fillId="3" borderId="5" xfId="3" applyNumberFormat="1" applyBorder="1"/>
    <xf numFmtId="44" fontId="1" fillId="3" borderId="0" xfId="3" applyNumberFormat="1" applyBorder="1"/>
    <xf numFmtId="44" fontId="0" fillId="4" borderId="5" xfId="1" applyFont="1" applyFill="1" applyBorder="1"/>
    <xf numFmtId="2" fontId="1" fillId="3" borderId="0" xfId="3" applyNumberFormat="1" applyBorder="1"/>
    <xf numFmtId="0" fontId="0" fillId="0" borderId="7" xfId="0" applyBorder="1" applyAlignment="1">
      <alignment horizontal="right"/>
    </xf>
    <xf numFmtId="44" fontId="1" fillId="3" borderId="8" xfId="3" applyNumberFormat="1" applyBorder="1"/>
    <xf numFmtId="0" fontId="0" fillId="0" borderId="8" xfId="0" applyBorder="1"/>
    <xf numFmtId="44" fontId="1" fillId="3" borderId="9" xfId="3" applyNumberFormat="1" applyBorder="1"/>
    <xf numFmtId="44" fontId="0" fillId="0" borderId="0" xfId="0" applyNumberFormat="1"/>
    <xf numFmtId="0" fontId="0" fillId="0" borderId="0" xfId="0" applyProtection="1">
      <protection locked="0"/>
    </xf>
    <xf numFmtId="0" fontId="3" fillId="0" borderId="11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10" fillId="0" borderId="0" xfId="0" applyFont="1" applyProtection="1"/>
    <xf numFmtId="0" fontId="10" fillId="0" borderId="0" xfId="0" applyFont="1" applyAlignment="1" applyProtection="1"/>
    <xf numFmtId="0" fontId="10" fillId="0" borderId="0" xfId="0" applyFont="1" applyAlignment="1" applyProtection="1">
      <protection locked="0"/>
    </xf>
    <xf numFmtId="0" fontId="12" fillId="0" borderId="0" xfId="5" applyFont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0" fontId="9" fillId="0" borderId="3" xfId="0" applyFont="1" applyFill="1" applyBorder="1" applyAlignment="1" applyProtection="1">
      <alignment horizontal="center"/>
    </xf>
    <xf numFmtId="0" fontId="10" fillId="0" borderId="0" xfId="0" applyFont="1" applyBorder="1" applyProtection="1">
      <protection locked="0"/>
    </xf>
    <xf numFmtId="0" fontId="10" fillId="0" borderId="5" xfId="0" applyFont="1" applyBorder="1" applyProtection="1">
      <protection locked="0"/>
    </xf>
    <xf numFmtId="0" fontId="10" fillId="0" borderId="0" xfId="0" applyFont="1" applyBorder="1" applyAlignment="1" applyProtection="1">
      <protection locked="0"/>
    </xf>
    <xf numFmtId="0" fontId="9" fillId="0" borderId="0" xfId="0" applyFont="1" applyBorder="1" applyAlignment="1" applyProtection="1">
      <alignment horizontal="right"/>
    </xf>
    <xf numFmtId="0" fontId="9" fillId="0" borderId="0" xfId="0" applyFont="1" applyBorder="1" applyAlignment="1" applyProtection="1">
      <alignment horizontal="left"/>
      <protection locked="0"/>
    </xf>
    <xf numFmtId="0" fontId="9" fillId="0" borderId="0" xfId="0" applyFont="1" applyProtection="1"/>
    <xf numFmtId="0" fontId="8" fillId="0" borderId="0" xfId="5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0" fillId="0" borderId="0" xfId="0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right"/>
      <protection locked="0"/>
    </xf>
    <xf numFmtId="44" fontId="0" fillId="0" borderId="0" xfId="1" applyFont="1" applyAlignment="1" applyProtection="1">
      <protection locked="0"/>
    </xf>
    <xf numFmtId="0" fontId="9" fillId="0" borderId="0" xfId="0" applyFont="1" applyAlignment="1" applyProtection="1">
      <alignment horizontal="right"/>
    </xf>
    <xf numFmtId="44" fontId="10" fillId="0" borderId="0" xfId="0" applyNumberFormat="1" applyFont="1" applyProtection="1"/>
    <xf numFmtId="0" fontId="9" fillId="0" borderId="0" xfId="0" applyFont="1" applyAlignment="1" applyProtection="1">
      <alignment horizontal="left"/>
    </xf>
    <xf numFmtId="44" fontId="10" fillId="0" borderId="0" xfId="1" applyFont="1" applyBorder="1" applyProtection="1">
      <protection locked="0"/>
    </xf>
    <xf numFmtId="0" fontId="10" fillId="0" borderId="25" xfId="0" applyFont="1" applyBorder="1" applyAlignment="1" applyProtection="1">
      <alignment horizontal="center"/>
      <protection locked="0"/>
    </xf>
    <xf numFmtId="44" fontId="10" fillId="0" borderId="25" xfId="1" applyFont="1" applyBorder="1" applyProtection="1">
      <protection locked="0"/>
    </xf>
    <xf numFmtId="0" fontId="9" fillId="0" borderId="0" xfId="0" applyFont="1" applyBorder="1" applyAlignment="1" applyProtection="1">
      <alignment horizontal="center"/>
      <protection locked="0"/>
    </xf>
    <xf numFmtId="0" fontId="10" fillId="0" borderId="21" xfId="0" applyFont="1" applyBorder="1" applyAlignment="1" applyProtection="1">
      <alignment horizontal="center"/>
      <protection locked="0"/>
    </xf>
    <xf numFmtId="0" fontId="9" fillId="0" borderId="38" xfId="0" applyFont="1" applyFill="1" applyBorder="1" applyAlignment="1" applyProtection="1">
      <alignment horizontal="left"/>
    </xf>
    <xf numFmtId="0" fontId="9" fillId="0" borderId="38" xfId="0" applyFont="1" applyBorder="1" applyProtection="1"/>
    <xf numFmtId="0" fontId="9" fillId="0" borderId="38" xfId="0" applyFont="1" applyBorder="1" applyProtection="1">
      <protection locked="0"/>
    </xf>
    <xf numFmtId="0" fontId="10" fillId="0" borderId="38" xfId="0" applyFont="1" applyBorder="1" applyProtection="1">
      <protection locked="0"/>
    </xf>
    <xf numFmtId="0" fontId="9" fillId="0" borderId="40" xfId="0" applyFont="1" applyBorder="1" applyProtection="1">
      <protection locked="0"/>
    </xf>
    <xf numFmtId="0" fontId="10" fillId="0" borderId="40" xfId="0" applyFont="1" applyBorder="1" applyProtection="1">
      <protection locked="0"/>
    </xf>
    <xf numFmtId="0" fontId="10" fillId="0" borderId="41" xfId="0" applyFont="1" applyBorder="1" applyProtection="1">
      <protection locked="0"/>
    </xf>
    <xf numFmtId="0" fontId="10" fillId="0" borderId="31" xfId="0" applyFont="1" applyBorder="1" applyProtection="1">
      <protection locked="0"/>
    </xf>
    <xf numFmtId="44" fontId="14" fillId="0" borderId="0" xfId="1" applyFont="1" applyBorder="1" applyProtection="1"/>
    <xf numFmtId="44" fontId="10" fillId="0" borderId="43" xfId="1" applyFont="1" applyBorder="1" applyProtection="1">
      <protection locked="0"/>
    </xf>
    <xf numFmtId="44" fontId="10" fillId="0" borderId="34" xfId="1" applyFont="1" applyBorder="1" applyProtection="1">
      <protection locked="0"/>
    </xf>
    <xf numFmtId="44" fontId="10" fillId="0" borderId="44" xfId="1" applyFont="1" applyBorder="1" applyProtection="1">
      <protection locked="0"/>
    </xf>
    <xf numFmtId="44" fontId="14" fillId="0" borderId="5" xfId="1" applyFont="1" applyBorder="1" applyProtection="1"/>
    <xf numFmtId="44" fontId="10" fillId="0" borderId="39" xfId="1" applyFont="1" applyBorder="1" applyProtection="1">
      <protection locked="0"/>
    </xf>
    <xf numFmtId="44" fontId="10" fillId="0" borderId="46" xfId="1" applyFont="1" applyBorder="1" applyProtection="1">
      <protection locked="0"/>
    </xf>
    <xf numFmtId="44" fontId="10" fillId="0" borderId="47" xfId="1" applyFont="1" applyBorder="1" applyProtection="1">
      <protection locked="0"/>
    </xf>
    <xf numFmtId="44" fontId="10" fillId="0" borderId="48" xfId="1" applyFont="1" applyBorder="1" applyProtection="1">
      <protection locked="0"/>
    </xf>
    <xf numFmtId="0" fontId="9" fillId="0" borderId="27" xfId="0" applyFont="1" applyBorder="1" applyProtection="1">
      <protection locked="0"/>
    </xf>
    <xf numFmtId="0" fontId="9" fillId="0" borderId="39" xfId="0" applyFont="1" applyBorder="1" applyAlignment="1" applyProtection="1">
      <protection locked="0"/>
    </xf>
    <xf numFmtId="0" fontId="3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19" fillId="0" borderId="0" xfId="0" applyFont="1" applyProtection="1"/>
    <xf numFmtId="0" fontId="17" fillId="0" borderId="0" xfId="0" applyFont="1" applyProtection="1"/>
    <xf numFmtId="0" fontId="0" fillId="0" borderId="0" xfId="0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0" xfId="0" applyBorder="1" applyProtection="1"/>
    <xf numFmtId="0" fontId="0" fillId="0" borderId="5" xfId="0" applyBorder="1" applyProtection="1"/>
    <xf numFmtId="0" fontId="0" fillId="0" borderId="1" xfId="0" applyBorder="1" applyProtection="1"/>
    <xf numFmtId="0" fontId="0" fillId="0" borderId="7" xfId="0" applyBorder="1" applyProtection="1"/>
    <xf numFmtId="0" fontId="0" fillId="0" borderId="8" xfId="0" applyBorder="1" applyProtection="1"/>
    <xf numFmtId="0" fontId="0" fillId="0" borderId="9" xfId="0" applyBorder="1" applyProtection="1"/>
    <xf numFmtId="0" fontId="0" fillId="0" borderId="13" xfId="0" applyBorder="1" applyProtection="1"/>
    <xf numFmtId="0" fontId="0" fillId="0" borderId="14" xfId="0" applyBorder="1" applyProtection="1"/>
    <xf numFmtId="0" fontId="4" fillId="0" borderId="5" xfId="5" applyBorder="1" applyProtection="1"/>
    <xf numFmtId="0" fontId="0" fillId="0" borderId="15" xfId="0" applyBorder="1" applyProtection="1"/>
    <xf numFmtId="0" fontId="4" fillId="0" borderId="9" xfId="5" applyBorder="1" applyProtection="1"/>
    <xf numFmtId="0" fontId="0" fillId="0" borderId="0" xfId="0" applyFill="1" applyBorder="1" applyProtection="1"/>
    <xf numFmtId="0" fontId="17" fillId="0" borderId="0" xfId="0" applyFont="1"/>
    <xf numFmtId="0" fontId="4" fillId="0" borderId="2" xfId="5" applyBorder="1" applyProtection="1"/>
    <xf numFmtId="0" fontId="4" fillId="0" borderId="0" xfId="5" applyBorder="1" applyProtection="1"/>
    <xf numFmtId="0" fontId="10" fillId="0" borderId="27" xfId="0" applyFont="1" applyBorder="1" applyAlignment="1" applyProtection="1">
      <alignment horizontal="center"/>
      <protection locked="0"/>
    </xf>
    <xf numFmtId="0" fontId="15" fillId="0" borderId="0" xfId="0" applyFont="1" applyProtection="1"/>
    <xf numFmtId="0" fontId="15" fillId="0" borderId="0" xfId="0" applyFont="1" applyProtection="1">
      <protection locked="0"/>
    </xf>
    <xf numFmtId="165" fontId="10" fillId="0" borderId="0" xfId="0" applyNumberFormat="1" applyFont="1" applyProtection="1"/>
    <xf numFmtId="0" fontId="10" fillId="0" borderId="55" xfId="0" applyFont="1" applyBorder="1" applyAlignment="1" applyProtection="1">
      <alignment horizontal="center"/>
      <protection locked="0"/>
    </xf>
    <xf numFmtId="0" fontId="10" fillId="0" borderId="56" xfId="0" applyFont="1" applyBorder="1" applyAlignment="1" applyProtection="1">
      <alignment horizontal="center"/>
      <protection locked="0"/>
    </xf>
    <xf numFmtId="0" fontId="10" fillId="0" borderId="0" xfId="0" applyFont="1"/>
    <xf numFmtId="0" fontId="15" fillId="7" borderId="34" xfId="0" applyFont="1" applyFill="1" applyBorder="1" applyProtection="1"/>
    <xf numFmtId="0" fontId="15" fillId="7" borderId="34" xfId="0" applyFont="1" applyFill="1" applyBorder="1" applyAlignment="1" applyProtection="1">
      <alignment horizontal="left"/>
    </xf>
    <xf numFmtId="0" fontId="0" fillId="0" borderId="0" xfId="0" applyAlignment="1" applyProtection="1">
      <protection locked="0"/>
    </xf>
    <xf numFmtId="0" fontId="0" fillId="0" borderId="27" xfId="0" applyBorder="1" applyAlignment="1" applyProtection="1">
      <protection locked="0"/>
    </xf>
    <xf numFmtId="0" fontId="0" fillId="0" borderId="27" xfId="0" applyBorder="1" applyProtection="1">
      <protection locked="0"/>
    </xf>
    <xf numFmtId="0" fontId="0" fillId="0" borderId="25" xfId="0" applyBorder="1" applyProtection="1">
      <protection locked="0"/>
    </xf>
    <xf numFmtId="0" fontId="10" fillId="0" borderId="65" xfId="0" applyFont="1" applyBorder="1" applyAlignment="1" applyProtection="1">
      <alignment horizontal="center"/>
      <protection locked="0"/>
    </xf>
    <xf numFmtId="0" fontId="10" fillId="0" borderId="27" xfId="0" applyFont="1" applyBorder="1" applyAlignment="1" applyProtection="1">
      <alignment horizontal="center" vertical="center"/>
      <protection locked="0"/>
    </xf>
    <xf numFmtId="0" fontId="10" fillId="0" borderId="25" xfId="0" applyFont="1" applyBorder="1" applyAlignment="1" applyProtection="1">
      <alignment horizontal="center" vertical="center"/>
      <protection locked="0"/>
    </xf>
    <xf numFmtId="0" fontId="14" fillId="0" borderId="27" xfId="0" applyFont="1" applyBorder="1" applyAlignment="1" applyProtection="1">
      <alignment horizontal="center"/>
      <protection locked="0"/>
    </xf>
    <xf numFmtId="0" fontId="14" fillId="0" borderId="25" xfId="0" applyFont="1" applyBorder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center"/>
      <protection locked="0"/>
    </xf>
    <xf numFmtId="0" fontId="9" fillId="0" borderId="55" xfId="0" applyFont="1" applyBorder="1" applyAlignment="1" applyProtection="1">
      <alignment horizontal="center"/>
      <protection locked="0"/>
    </xf>
    <xf numFmtId="0" fontId="10" fillId="0" borderId="66" xfId="0" applyFont="1" applyBorder="1" applyProtection="1">
      <protection locked="0"/>
    </xf>
    <xf numFmtId="10" fontId="24" fillId="0" borderId="0" xfId="4" applyNumberFormat="1" applyFont="1" applyBorder="1" applyProtection="1"/>
    <xf numFmtId="0" fontId="9" fillId="0" borderId="0" xfId="0" applyFont="1" applyBorder="1" applyAlignment="1" applyProtection="1">
      <alignment horizontal="left"/>
    </xf>
    <xf numFmtId="0" fontId="4" fillId="0" borderId="0" xfId="5" applyFill="1" applyBorder="1" applyProtection="1"/>
    <xf numFmtId="0" fontId="0" fillId="0" borderId="38" xfId="0" applyBorder="1"/>
    <xf numFmtId="0" fontId="0" fillId="0" borderId="0" xfId="0" applyBorder="1"/>
    <xf numFmtId="0" fontId="0" fillId="0" borderId="39" xfId="0" applyBorder="1"/>
    <xf numFmtId="0" fontId="0" fillId="0" borderId="0" xfId="0" applyBorder="1" applyProtection="1">
      <protection locked="0"/>
    </xf>
    <xf numFmtId="0" fontId="9" fillId="0" borderId="38" xfId="0" applyFont="1" applyBorder="1" applyAlignment="1" applyProtection="1">
      <alignment horizontal="left"/>
    </xf>
    <xf numFmtId="0" fontId="0" fillId="0" borderId="39" xfId="0" applyBorder="1" applyProtection="1">
      <protection locked="0"/>
    </xf>
    <xf numFmtId="0" fontId="0" fillId="0" borderId="40" xfId="0" applyBorder="1" applyProtection="1">
      <protection locked="0"/>
    </xf>
    <xf numFmtId="0" fontId="0" fillId="0" borderId="41" xfId="0" applyBorder="1" applyProtection="1">
      <protection locked="0"/>
    </xf>
    <xf numFmtId="0" fontId="0" fillId="0" borderId="32" xfId="0" applyBorder="1" applyProtection="1">
      <protection locked="0"/>
    </xf>
    <xf numFmtId="0" fontId="9" fillId="7" borderId="42" xfId="0" applyFont="1" applyFill="1" applyBorder="1" applyAlignment="1" applyProtection="1">
      <alignment horizontal="center"/>
      <protection locked="0"/>
    </xf>
    <xf numFmtId="0" fontId="9" fillId="7" borderId="45" xfId="0" applyFont="1" applyFill="1" applyBorder="1" applyAlignment="1" applyProtection="1">
      <alignment horizontal="center"/>
      <protection locked="0"/>
    </xf>
    <xf numFmtId="0" fontId="22" fillId="0" borderId="0" xfId="0" applyFont="1" applyAlignment="1" applyProtection="1">
      <alignment horizontal="left"/>
    </xf>
    <xf numFmtId="0" fontId="10" fillId="0" borderId="0" xfId="0" applyFont="1" applyBorder="1" applyAlignment="1" applyProtection="1">
      <alignment horizontal="center"/>
      <protection locked="0"/>
    </xf>
    <xf numFmtId="0" fontId="9" fillId="0" borderId="27" xfId="0" applyFont="1" applyBorder="1" applyAlignment="1" applyProtection="1">
      <alignment horizontal="center"/>
      <protection locked="0"/>
    </xf>
    <xf numFmtId="0" fontId="0" fillId="0" borderId="7" xfId="0" applyFill="1" applyBorder="1" applyProtection="1"/>
    <xf numFmtId="14" fontId="0" fillId="0" borderId="0" xfId="0" applyNumberFormat="1" applyProtection="1">
      <protection locked="0"/>
    </xf>
    <xf numFmtId="0" fontId="22" fillId="0" borderId="0" xfId="0" applyFont="1" applyProtection="1">
      <protection locked="0"/>
    </xf>
    <xf numFmtId="0" fontId="17" fillId="0" borderId="0" xfId="0" applyFont="1" applyAlignment="1" applyProtection="1">
      <alignment horizontal="center"/>
    </xf>
    <xf numFmtId="0" fontId="0" fillId="0" borderId="27" xfId="0" applyBorder="1" applyAlignment="1" applyProtection="1">
      <alignment horizontal="center"/>
      <protection locked="0"/>
    </xf>
    <xf numFmtId="0" fontId="17" fillId="0" borderId="0" xfId="0" applyFont="1" applyAlignment="1" applyProtection="1">
      <alignment horizontal="left"/>
      <protection locked="0"/>
    </xf>
    <xf numFmtId="0" fontId="22" fillId="0" borderId="0" xfId="0" applyFont="1" applyAlignment="1" applyProtection="1"/>
    <xf numFmtId="0" fontId="22" fillId="0" borderId="38" xfId="0" applyFont="1" applyBorder="1" applyAlignment="1" applyProtection="1"/>
    <xf numFmtId="0" fontId="28" fillId="0" borderId="0" xfId="0" applyFont="1" applyProtection="1">
      <protection locked="0"/>
    </xf>
    <xf numFmtId="0" fontId="9" fillId="7" borderId="34" xfId="0" applyFont="1" applyFill="1" applyBorder="1" applyAlignment="1" applyProtection="1">
      <alignment horizontal="right"/>
      <protection locked="0"/>
    </xf>
    <xf numFmtId="0" fontId="10" fillId="0" borderId="25" xfId="0" applyFont="1" applyBorder="1" applyAlignment="1" applyProtection="1">
      <alignment horizontal="center"/>
      <protection locked="0"/>
    </xf>
    <xf numFmtId="0" fontId="10" fillId="0" borderId="27" xfId="0" applyFont="1" applyBorder="1" applyAlignment="1" applyProtection="1">
      <alignment horizontal="center"/>
      <protection locked="0"/>
    </xf>
    <xf numFmtId="0" fontId="17" fillId="0" borderId="0" xfId="0" applyFont="1" applyProtection="1">
      <protection locked="0"/>
    </xf>
    <xf numFmtId="44" fontId="10" fillId="0" borderId="0" xfId="1" applyFont="1" applyProtection="1">
      <protection locked="0"/>
    </xf>
    <xf numFmtId="0" fontId="9" fillId="0" borderId="0" xfId="0" applyFont="1" applyAlignment="1" applyProtection="1">
      <alignment horizontal="right"/>
      <protection locked="0"/>
    </xf>
    <xf numFmtId="44" fontId="30" fillId="0" borderId="0" xfId="0" applyNumberFormat="1" applyFont="1" applyProtection="1"/>
    <xf numFmtId="0" fontId="25" fillId="0" borderId="0" xfId="0" applyFont="1" applyAlignment="1" applyProtection="1">
      <alignment vertical="center" wrapText="1"/>
    </xf>
    <xf numFmtId="0" fontId="31" fillId="0" borderId="0" xfId="0" applyFont="1" applyAlignment="1" applyProtection="1">
      <alignment vertical="center"/>
    </xf>
    <xf numFmtId="0" fontId="25" fillId="0" borderId="2" xfId="0" applyFont="1" applyBorder="1" applyAlignment="1" applyProtection="1">
      <alignment vertical="center" wrapText="1"/>
    </xf>
    <xf numFmtId="164" fontId="10" fillId="0" borderId="8" xfId="1" applyNumberFormat="1" applyFont="1" applyBorder="1" applyAlignment="1" applyProtection="1">
      <alignment horizontal="left"/>
      <protection locked="0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 wrapText="1"/>
    </xf>
    <xf numFmtId="164" fontId="10" fillId="0" borderId="10" xfId="1" applyNumberFormat="1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vertical="top" wrapText="1"/>
    </xf>
    <xf numFmtId="164" fontId="10" fillId="0" borderId="0" xfId="1" applyNumberFormat="1" applyFont="1" applyProtection="1"/>
    <xf numFmtId="0" fontId="7" fillId="0" borderId="0" xfId="0" applyFont="1" applyAlignment="1" applyProtection="1">
      <alignment horizontal="center" vertical="center"/>
      <protection locked="0"/>
    </xf>
    <xf numFmtId="0" fontId="8" fillId="0" borderId="20" xfId="5" applyFont="1" applyBorder="1" applyAlignment="1" applyProtection="1">
      <alignment horizontal="center"/>
      <protection locked="0"/>
    </xf>
    <xf numFmtId="0" fontId="8" fillId="0" borderId="10" xfId="5" applyFont="1" applyBorder="1" applyAlignment="1" applyProtection="1">
      <alignment horizontal="center"/>
      <protection locked="0"/>
    </xf>
    <xf numFmtId="0" fontId="8" fillId="0" borderId="12" xfId="5" applyFont="1" applyBorder="1" applyAlignment="1" applyProtection="1">
      <alignment horizontal="center"/>
      <protection locked="0"/>
    </xf>
    <xf numFmtId="164" fontId="6" fillId="5" borderId="49" xfId="0" applyNumberFormat="1" applyFont="1" applyFill="1" applyBorder="1" applyAlignment="1" applyProtection="1">
      <alignment horizontal="center" vertical="center"/>
    </xf>
    <xf numFmtId="164" fontId="6" fillId="5" borderId="50" xfId="0" applyNumberFormat="1" applyFont="1" applyFill="1" applyBorder="1" applyAlignment="1" applyProtection="1">
      <alignment horizontal="center" vertical="center"/>
    </xf>
    <xf numFmtId="164" fontId="6" fillId="5" borderId="5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44" fontId="0" fillId="0" borderId="0" xfId="1" applyFont="1" applyAlignment="1" applyProtection="1">
      <alignment horizontal="center" vertical="center"/>
      <protection locked="0"/>
    </xf>
    <xf numFmtId="0" fontId="10" fillId="0" borderId="27" xfId="0" applyFont="1" applyBorder="1" applyAlignment="1" applyProtection="1">
      <alignment horizontal="center"/>
      <protection locked="0"/>
    </xf>
    <xf numFmtId="0" fontId="25" fillId="0" borderId="0" xfId="0" applyFont="1" applyBorder="1" applyAlignment="1" applyProtection="1">
      <alignment horizontal="center" vertical="center" wrapText="1"/>
    </xf>
    <xf numFmtId="0" fontId="25" fillId="0" borderId="0" xfId="0" applyFont="1" applyAlignment="1" applyProtection="1">
      <alignment horizontal="center" vertical="center" wrapText="1"/>
    </xf>
    <xf numFmtId="0" fontId="9" fillId="0" borderId="0" xfId="0" applyFont="1" applyAlignment="1" applyProtection="1">
      <alignment horizontal="right" vertical="center"/>
    </xf>
    <xf numFmtId="0" fontId="9" fillId="0" borderId="0" xfId="0" applyFont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9" fillId="0" borderId="0" xfId="0" applyFont="1" applyBorder="1" applyAlignment="1" applyProtection="1">
      <alignment horizontal="center" vertical="center"/>
    </xf>
    <xf numFmtId="44" fontId="15" fillId="5" borderId="0" xfId="1" applyFont="1" applyFill="1" applyAlignment="1" applyProtection="1">
      <alignment horizontal="center" vertical="center"/>
    </xf>
    <xf numFmtId="44" fontId="15" fillId="5" borderId="8" xfId="1" applyFont="1" applyFill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top" wrapText="1"/>
    </xf>
    <xf numFmtId="0" fontId="9" fillId="0" borderId="2" xfId="0" applyFont="1" applyBorder="1" applyAlignment="1" applyProtection="1">
      <alignment horizontal="center" vertical="top" wrapText="1"/>
    </xf>
    <xf numFmtId="0" fontId="9" fillId="0" borderId="3" xfId="0" applyFont="1" applyBorder="1" applyAlignment="1" applyProtection="1">
      <alignment horizontal="center" vertical="top" wrapText="1"/>
    </xf>
    <xf numFmtId="0" fontId="9" fillId="0" borderId="7" xfId="0" applyFont="1" applyBorder="1" applyAlignment="1" applyProtection="1">
      <alignment horizontal="center" vertical="top" wrapText="1"/>
    </xf>
    <xf numFmtId="0" fontId="9" fillId="0" borderId="8" xfId="0" applyFont="1" applyBorder="1" applyAlignment="1" applyProtection="1">
      <alignment horizontal="center" vertical="top" wrapText="1"/>
    </xf>
    <xf numFmtId="0" fontId="9" fillId="0" borderId="9" xfId="0" applyFont="1" applyBorder="1" applyAlignment="1" applyProtection="1">
      <alignment horizontal="center" vertical="top" wrapText="1"/>
    </xf>
    <xf numFmtId="0" fontId="9" fillId="0" borderId="0" xfId="0" applyFont="1" applyAlignment="1" applyProtection="1">
      <alignment horizontal="center" vertical="center" wrapText="1"/>
    </xf>
    <xf numFmtId="0" fontId="19" fillId="0" borderId="0" xfId="0" applyFont="1" applyAlignment="1" applyProtection="1">
      <alignment horizontal="center" vertical="center" wrapText="1"/>
    </xf>
    <xf numFmtId="0" fontId="15" fillId="7" borderId="53" xfId="0" applyFont="1" applyFill="1" applyBorder="1" applyAlignment="1" applyProtection="1">
      <alignment horizontal="center"/>
    </xf>
    <xf numFmtId="0" fontId="15" fillId="7" borderId="29" xfId="0" applyFont="1" applyFill="1" applyBorder="1" applyAlignment="1" applyProtection="1">
      <alignment horizontal="center"/>
    </xf>
    <xf numFmtId="14" fontId="10" fillId="0" borderId="25" xfId="0" applyNumberFormat="1" applyFont="1" applyBorder="1" applyAlignment="1" applyProtection="1">
      <alignment horizontal="center"/>
      <protection locked="0"/>
    </xf>
    <xf numFmtId="0" fontId="15" fillId="7" borderId="64" xfId="0" applyFont="1" applyFill="1" applyBorder="1" applyAlignment="1" applyProtection="1">
      <alignment horizontal="center"/>
    </xf>
    <xf numFmtId="14" fontId="10" fillId="0" borderId="0" xfId="0" applyNumberFormat="1" applyFont="1" applyBorder="1" applyAlignment="1" applyProtection="1">
      <alignment horizontal="center"/>
      <protection locked="0"/>
    </xf>
    <xf numFmtId="0" fontId="11" fillId="6" borderId="58" xfId="0" applyFont="1" applyFill="1" applyBorder="1" applyAlignment="1" applyProtection="1">
      <alignment horizontal="center" vertical="center"/>
      <protection locked="0"/>
    </xf>
    <xf numFmtId="0" fontId="11" fillId="6" borderId="59" xfId="0" applyFont="1" applyFill="1" applyBorder="1" applyAlignment="1" applyProtection="1">
      <alignment horizontal="center" vertical="center"/>
      <protection locked="0"/>
    </xf>
    <xf numFmtId="0" fontId="11" fillId="6" borderId="60" xfId="0" applyFont="1" applyFill="1" applyBorder="1" applyAlignment="1" applyProtection="1">
      <alignment horizontal="center" vertical="center"/>
      <protection locked="0"/>
    </xf>
    <xf numFmtId="0" fontId="11" fillId="6" borderId="61" xfId="0" applyFont="1" applyFill="1" applyBorder="1" applyAlignment="1" applyProtection="1">
      <alignment horizontal="center" vertical="center"/>
      <protection locked="0"/>
    </xf>
    <xf numFmtId="0" fontId="11" fillId="6" borderId="62" xfId="0" applyFont="1" applyFill="1" applyBorder="1" applyAlignment="1" applyProtection="1">
      <alignment horizontal="center" vertical="center"/>
      <protection locked="0"/>
    </xf>
    <xf numFmtId="0" fontId="11" fillId="6" borderId="63" xfId="0" applyFont="1" applyFill="1" applyBorder="1" applyAlignment="1" applyProtection="1">
      <alignment horizontal="center" vertical="center"/>
      <protection locked="0"/>
    </xf>
    <xf numFmtId="0" fontId="15" fillId="7" borderId="53" xfId="0" applyFont="1" applyFill="1" applyBorder="1" applyAlignment="1" applyProtection="1">
      <alignment horizontal="left"/>
    </xf>
    <xf numFmtId="0" fontId="15" fillId="7" borderId="29" xfId="0" applyFont="1" applyFill="1" applyBorder="1" applyAlignment="1" applyProtection="1">
      <alignment horizontal="left"/>
    </xf>
    <xf numFmtId="0" fontId="15" fillId="7" borderId="64" xfId="0" applyFont="1" applyFill="1" applyBorder="1" applyAlignment="1" applyProtection="1">
      <alignment horizontal="left"/>
    </xf>
    <xf numFmtId="0" fontId="17" fillId="0" borderId="0" xfId="0" applyFont="1" applyAlignment="1" applyProtection="1">
      <alignment horizontal="left"/>
    </xf>
    <xf numFmtId="0" fontId="10" fillId="0" borderId="25" xfId="0" applyFont="1" applyBorder="1" applyAlignment="1" applyProtection="1">
      <alignment horizontal="center"/>
      <protection locked="0"/>
    </xf>
    <xf numFmtId="0" fontId="22" fillId="0" borderId="0" xfId="0" applyFont="1" applyAlignment="1" applyProtection="1">
      <alignment horizontal="left"/>
    </xf>
    <xf numFmtId="0" fontId="10" fillId="0" borderId="0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1" fillId="6" borderId="68" xfId="0" applyFont="1" applyFill="1" applyBorder="1" applyAlignment="1" applyProtection="1">
      <alignment horizontal="center" vertical="center"/>
      <protection locked="0"/>
    </xf>
    <xf numFmtId="0" fontId="11" fillId="6" borderId="69" xfId="0" applyFont="1" applyFill="1" applyBorder="1" applyAlignment="1" applyProtection="1">
      <alignment horizontal="center" vertical="center"/>
      <protection locked="0"/>
    </xf>
    <xf numFmtId="0" fontId="11" fillId="6" borderId="70" xfId="0" applyFont="1" applyFill="1" applyBorder="1" applyAlignment="1" applyProtection="1">
      <alignment horizontal="center" vertical="center"/>
      <protection locked="0"/>
    </xf>
    <xf numFmtId="0" fontId="11" fillId="6" borderId="71" xfId="0" applyFont="1" applyFill="1" applyBorder="1" applyAlignment="1" applyProtection="1">
      <alignment horizontal="center" vertical="center"/>
      <protection locked="0"/>
    </xf>
    <xf numFmtId="0" fontId="9" fillId="0" borderId="38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10" fillId="0" borderId="8" xfId="0" applyFont="1" applyBorder="1" applyAlignment="1" applyProtection="1">
      <alignment horizontal="center"/>
      <protection locked="0"/>
    </xf>
    <xf numFmtId="0" fontId="10" fillId="0" borderId="72" xfId="0" applyFont="1" applyBorder="1" applyAlignment="1" applyProtection="1">
      <alignment horizontal="center"/>
      <protection locked="0"/>
    </xf>
    <xf numFmtId="0" fontId="26" fillId="0" borderId="2" xfId="5" applyFont="1" applyBorder="1" applyAlignment="1" applyProtection="1">
      <alignment horizontal="center"/>
      <protection locked="0"/>
    </xf>
    <xf numFmtId="0" fontId="26" fillId="0" borderId="47" xfId="5" applyFont="1" applyBorder="1" applyAlignment="1" applyProtection="1">
      <alignment horizontal="center"/>
      <protection locked="0"/>
    </xf>
    <xf numFmtId="0" fontId="9" fillId="7" borderId="35" xfId="0" applyFont="1" applyFill="1" applyBorder="1" applyAlignment="1" applyProtection="1">
      <alignment horizontal="center" vertical="center" wrapText="1"/>
      <protection locked="0"/>
    </xf>
    <xf numFmtId="0" fontId="9" fillId="7" borderId="37" xfId="0" applyFont="1" applyFill="1" applyBorder="1" applyAlignment="1" applyProtection="1">
      <alignment horizontal="center" vertical="center" wrapText="1"/>
      <protection locked="0"/>
    </xf>
    <xf numFmtId="0" fontId="9" fillId="7" borderId="40" xfId="0" applyFont="1" applyFill="1" applyBorder="1" applyAlignment="1" applyProtection="1">
      <alignment horizontal="center" vertical="center" wrapText="1"/>
      <protection locked="0"/>
    </xf>
    <xf numFmtId="0" fontId="9" fillId="7" borderId="32" xfId="0" applyFont="1" applyFill="1" applyBorder="1" applyAlignment="1" applyProtection="1">
      <alignment horizontal="center" vertical="center" wrapText="1"/>
      <protection locked="0"/>
    </xf>
    <xf numFmtId="0" fontId="23" fillId="0" borderId="38" xfId="5" applyFont="1" applyBorder="1" applyAlignment="1" applyProtection="1">
      <alignment horizontal="left"/>
    </xf>
    <xf numFmtId="0" fontId="23" fillId="0" borderId="0" xfId="5" applyFont="1" applyBorder="1" applyAlignment="1" applyProtection="1">
      <alignment horizontal="left"/>
    </xf>
    <xf numFmtId="0" fontId="9" fillId="0" borderId="38" xfId="0" applyFont="1" applyBorder="1" applyAlignment="1" applyProtection="1">
      <alignment horizontal="left"/>
    </xf>
    <xf numFmtId="0" fontId="9" fillId="0" borderId="0" xfId="0" applyFont="1" applyBorder="1" applyAlignment="1" applyProtection="1">
      <alignment horizontal="left"/>
    </xf>
    <xf numFmtId="0" fontId="27" fillId="0" borderId="0" xfId="5" applyFont="1" applyBorder="1" applyAlignment="1" applyProtection="1">
      <alignment horizontal="center"/>
    </xf>
    <xf numFmtId="0" fontId="27" fillId="0" borderId="0" xfId="0" applyFont="1" applyBorder="1" applyAlignment="1" applyProtection="1">
      <alignment horizontal="center"/>
    </xf>
    <xf numFmtId="0" fontId="27" fillId="0" borderId="39" xfId="0" applyFont="1" applyBorder="1" applyAlignment="1" applyProtection="1">
      <alignment horizontal="center"/>
    </xf>
    <xf numFmtId="0" fontId="4" fillId="0" borderId="27" xfId="5" applyBorder="1" applyAlignment="1" applyProtection="1">
      <alignment horizontal="right"/>
      <protection locked="0"/>
    </xf>
    <xf numFmtId="0" fontId="1" fillId="0" borderId="27" xfId="0" applyFont="1" applyBorder="1" applyAlignment="1" applyProtection="1">
      <alignment horizontal="right"/>
      <protection locked="0"/>
    </xf>
    <xf numFmtId="0" fontId="1" fillId="0" borderId="33" xfId="0" applyFont="1" applyBorder="1" applyAlignment="1" applyProtection="1">
      <alignment horizontal="right"/>
      <protection locked="0"/>
    </xf>
    <xf numFmtId="44" fontId="10" fillId="0" borderId="53" xfId="1" applyFont="1" applyBorder="1" applyAlignment="1" applyProtection="1">
      <alignment horizontal="right"/>
      <protection locked="0"/>
    </xf>
    <xf numFmtId="44" fontId="10" fillId="0" borderId="29" xfId="1" applyFont="1" applyBorder="1" applyAlignment="1" applyProtection="1">
      <alignment horizontal="right"/>
      <protection locked="0"/>
    </xf>
    <xf numFmtId="0" fontId="9" fillId="0" borderId="66" xfId="5" applyFont="1" applyBorder="1" applyAlignment="1" applyProtection="1">
      <alignment horizontal="center" vertical="center"/>
      <protection locked="0"/>
    </xf>
    <xf numFmtId="0" fontId="9" fillId="0" borderId="27" xfId="0" applyFont="1" applyBorder="1" applyAlignment="1" applyProtection="1">
      <alignment horizontal="center"/>
      <protection locked="0"/>
    </xf>
    <xf numFmtId="0" fontId="13" fillId="0" borderId="27" xfId="0" applyFont="1" applyBorder="1" applyAlignment="1" applyProtection="1">
      <alignment horizontal="center"/>
      <protection locked="0"/>
    </xf>
    <xf numFmtId="0" fontId="13" fillId="0" borderId="33" xfId="0" applyFont="1" applyBorder="1" applyAlignment="1" applyProtection="1">
      <alignment horizontal="center"/>
      <protection locked="0"/>
    </xf>
    <xf numFmtId="0" fontId="25" fillId="0" borderId="38" xfId="0" applyFont="1" applyBorder="1" applyAlignment="1" applyProtection="1">
      <alignment horizontal="center"/>
    </xf>
    <xf numFmtId="0" fontId="25" fillId="0" borderId="0" xfId="0" applyFont="1" applyBorder="1" applyAlignment="1" applyProtection="1">
      <alignment horizontal="center"/>
    </xf>
    <xf numFmtId="0" fontId="25" fillId="0" borderId="39" xfId="0" applyFont="1" applyBorder="1" applyAlignment="1" applyProtection="1">
      <alignment horizontal="center"/>
    </xf>
    <xf numFmtId="0" fontId="20" fillId="6" borderId="35" xfId="0" applyFont="1" applyFill="1" applyBorder="1" applyAlignment="1" applyProtection="1">
      <alignment horizontal="center"/>
      <protection locked="0"/>
    </xf>
    <xf numFmtId="0" fontId="20" fillId="6" borderId="36" xfId="0" applyFont="1" applyFill="1" applyBorder="1" applyAlignment="1" applyProtection="1">
      <alignment horizontal="center"/>
      <protection locked="0"/>
    </xf>
    <xf numFmtId="0" fontId="20" fillId="6" borderId="37" xfId="0" applyFont="1" applyFill="1" applyBorder="1" applyAlignment="1" applyProtection="1">
      <alignment horizontal="center"/>
      <protection locked="0"/>
    </xf>
    <xf numFmtId="0" fontId="27" fillId="0" borderId="0" xfId="5" applyFont="1" applyAlignment="1" applyProtection="1">
      <alignment horizontal="center"/>
    </xf>
    <xf numFmtId="0" fontId="27" fillId="0" borderId="0" xfId="0" applyFont="1" applyAlignment="1" applyProtection="1">
      <alignment horizontal="center"/>
    </xf>
    <xf numFmtId="0" fontId="29" fillId="0" borderId="0" xfId="0" applyFont="1" applyAlignment="1" applyProtection="1">
      <alignment horizontal="center" vertical="center"/>
    </xf>
    <xf numFmtId="0" fontId="22" fillId="0" borderId="0" xfId="0" applyFont="1" applyAlignment="1" applyProtection="1">
      <alignment horizontal="center" vertical="center" wrapText="1"/>
    </xf>
    <xf numFmtId="0" fontId="13" fillId="0" borderId="27" xfId="0" applyFont="1" applyBorder="1" applyAlignment="1" applyProtection="1">
      <alignment horizontal="left"/>
      <protection locked="0"/>
    </xf>
    <xf numFmtId="44" fontId="10" fillId="0" borderId="52" xfId="1" applyFont="1" applyBorder="1" applyAlignment="1" applyProtection="1">
      <alignment horizontal="right"/>
      <protection locked="0"/>
    </xf>
    <xf numFmtId="44" fontId="10" fillId="0" borderId="28" xfId="1" applyFont="1" applyBorder="1" applyAlignment="1" applyProtection="1">
      <alignment horizontal="right"/>
      <protection locked="0"/>
    </xf>
    <xf numFmtId="0" fontId="9" fillId="0" borderId="5" xfId="0" applyFont="1" applyBorder="1" applyAlignment="1" applyProtection="1">
      <alignment horizontal="center" vertical="center" wrapText="1"/>
    </xf>
    <xf numFmtId="0" fontId="11" fillId="6" borderId="16" xfId="0" applyFont="1" applyFill="1" applyBorder="1" applyAlignment="1" applyProtection="1">
      <alignment horizontal="center" vertical="center"/>
      <protection locked="0"/>
    </xf>
    <xf numFmtId="0" fontId="11" fillId="6" borderId="17" xfId="0" applyFont="1" applyFill="1" applyBorder="1" applyAlignment="1" applyProtection="1">
      <alignment horizontal="center" vertical="center"/>
      <protection locked="0"/>
    </xf>
    <xf numFmtId="0" fontId="11" fillId="6" borderId="18" xfId="0" applyFont="1" applyFill="1" applyBorder="1" applyAlignment="1" applyProtection="1">
      <alignment horizontal="center" vertical="center"/>
      <protection locked="0"/>
    </xf>
    <xf numFmtId="0" fontId="11" fillId="6" borderId="22" xfId="0" applyFont="1" applyFill="1" applyBorder="1" applyAlignment="1" applyProtection="1">
      <alignment horizontal="center" vertical="center"/>
      <protection locked="0"/>
    </xf>
    <xf numFmtId="0" fontId="11" fillId="6" borderId="0" xfId="0" applyFont="1" applyFill="1" applyBorder="1" applyAlignment="1" applyProtection="1">
      <alignment horizontal="center" vertical="center"/>
      <protection locked="0"/>
    </xf>
    <xf numFmtId="0" fontId="11" fillId="6" borderId="19" xfId="0" applyFont="1" applyFill="1" applyBorder="1" applyAlignment="1" applyProtection="1">
      <alignment horizontal="center" vertical="center"/>
      <protection locked="0"/>
    </xf>
    <xf numFmtId="0" fontId="11" fillId="6" borderId="23" xfId="0" applyFont="1" applyFill="1" applyBorder="1" applyAlignment="1" applyProtection="1">
      <alignment horizontal="center" vertical="center"/>
      <protection locked="0"/>
    </xf>
    <xf numFmtId="44" fontId="10" fillId="0" borderId="0" xfId="0" applyNumberFormat="1" applyFont="1" applyAlignment="1" applyProtection="1"/>
    <xf numFmtId="0" fontId="10" fillId="0" borderId="0" xfId="0" applyFont="1" applyAlignment="1" applyProtection="1"/>
    <xf numFmtId="0" fontId="10" fillId="0" borderId="0" xfId="0" applyFont="1" applyAlignment="1" applyProtection="1">
      <alignment horizontal="right"/>
    </xf>
    <xf numFmtId="0" fontId="9" fillId="0" borderId="27" xfId="0" applyFont="1" applyFill="1" applyBorder="1" applyAlignment="1" applyProtection="1">
      <alignment horizontal="center"/>
      <protection locked="0"/>
    </xf>
    <xf numFmtId="164" fontId="10" fillId="0" borderId="0" xfId="1" applyNumberFormat="1" applyFont="1" applyAlignment="1" applyProtection="1">
      <alignment horizontal="right"/>
    </xf>
    <xf numFmtId="0" fontId="9" fillId="7" borderId="24" xfId="0" applyFont="1" applyFill="1" applyBorder="1" applyAlignment="1" applyProtection="1">
      <alignment horizontal="center"/>
      <protection locked="0"/>
    </xf>
    <xf numFmtId="0" fontId="9" fillId="7" borderId="25" xfId="0" applyFont="1" applyFill="1" applyBorder="1" applyAlignment="1" applyProtection="1">
      <alignment horizontal="center"/>
      <protection locked="0"/>
    </xf>
    <xf numFmtId="0" fontId="9" fillId="7" borderId="26" xfId="0" applyFont="1" applyFill="1" applyBorder="1" applyAlignment="1" applyProtection="1">
      <alignment horizontal="center"/>
      <protection locked="0"/>
    </xf>
    <xf numFmtId="0" fontId="20" fillId="6" borderId="38" xfId="0" applyFont="1" applyFill="1" applyBorder="1" applyAlignment="1" applyProtection="1">
      <alignment horizontal="center"/>
      <protection locked="0"/>
    </xf>
    <xf numFmtId="0" fontId="20" fillId="6" borderId="0" xfId="0" applyFont="1" applyFill="1" applyBorder="1" applyAlignment="1" applyProtection="1">
      <alignment horizontal="center"/>
      <protection locked="0"/>
    </xf>
    <xf numFmtId="0" fontId="10" fillId="0" borderId="57" xfId="0" applyFont="1" applyBorder="1" applyAlignment="1" applyProtection="1">
      <alignment horizontal="center"/>
      <protection locked="0"/>
    </xf>
    <xf numFmtId="0" fontId="10" fillId="0" borderId="64" xfId="0" applyFont="1" applyBorder="1" applyAlignment="1" applyProtection="1">
      <alignment horizontal="center"/>
    </xf>
    <xf numFmtId="0" fontId="9" fillId="0" borderId="66" xfId="0" applyFont="1" applyBorder="1" applyAlignment="1" applyProtection="1">
      <alignment horizontal="center" vertical="center"/>
    </xf>
    <xf numFmtId="0" fontId="9" fillId="0" borderId="67" xfId="0" applyFont="1" applyBorder="1" applyAlignment="1" applyProtection="1">
      <alignment horizontal="center" vertical="center"/>
    </xf>
    <xf numFmtId="0" fontId="9" fillId="0" borderId="27" xfId="0" applyFont="1" applyBorder="1" applyAlignment="1" applyProtection="1">
      <alignment horizontal="center" vertical="center"/>
    </xf>
    <xf numFmtId="0" fontId="9" fillId="0" borderId="33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/>
      <protection locked="0"/>
    </xf>
    <xf numFmtId="44" fontId="10" fillId="0" borderId="54" xfId="1" applyFont="1" applyBorder="1" applyAlignment="1" applyProtection="1">
      <alignment horizontal="center"/>
      <protection locked="0"/>
    </xf>
    <xf numFmtId="44" fontId="10" fillId="0" borderId="30" xfId="1" applyFont="1" applyBorder="1" applyAlignment="1" applyProtection="1">
      <alignment horizontal="center"/>
      <protection locked="0"/>
    </xf>
    <xf numFmtId="44" fontId="9" fillId="0" borderId="0" xfId="1" applyFont="1" applyBorder="1" applyAlignment="1" applyProtection="1">
      <alignment horizontal="center"/>
    </xf>
    <xf numFmtId="44" fontId="9" fillId="0" borderId="39" xfId="1" applyFont="1" applyBorder="1" applyAlignment="1" applyProtection="1">
      <alignment horizontal="center"/>
    </xf>
    <xf numFmtId="0" fontId="9" fillId="7" borderId="53" xfId="0" applyFont="1" applyFill="1" applyBorder="1" applyAlignment="1" applyProtection="1">
      <alignment horizontal="left"/>
      <protection locked="0"/>
    </xf>
    <xf numFmtId="0" fontId="9" fillId="7" borderId="29" xfId="0" applyFont="1" applyFill="1" applyBorder="1" applyAlignment="1" applyProtection="1">
      <alignment horizontal="left"/>
      <protection locked="0"/>
    </xf>
    <xf numFmtId="44" fontId="9" fillId="0" borderId="0" xfId="1" applyFont="1" applyBorder="1" applyAlignment="1" applyProtection="1">
      <alignment horizontal="center"/>
      <protection locked="0"/>
    </xf>
    <xf numFmtId="44" fontId="9" fillId="0" borderId="39" xfId="1" applyFont="1" applyBorder="1" applyAlignment="1" applyProtection="1">
      <alignment horizontal="center"/>
      <protection locked="0"/>
    </xf>
    <xf numFmtId="44" fontId="16" fillId="5" borderId="35" xfId="1" applyFont="1" applyFill="1" applyBorder="1" applyAlignment="1" applyProtection="1">
      <alignment horizontal="center" vertical="center"/>
    </xf>
    <xf numFmtId="44" fontId="16" fillId="5" borderId="36" xfId="1" applyFont="1" applyFill="1" applyBorder="1" applyAlignment="1" applyProtection="1">
      <alignment horizontal="center" vertical="center"/>
    </xf>
    <xf numFmtId="44" fontId="16" fillId="5" borderId="37" xfId="1" applyFont="1" applyFill="1" applyBorder="1" applyAlignment="1" applyProtection="1">
      <alignment horizontal="center" vertical="center"/>
    </xf>
    <xf numFmtId="44" fontId="16" fillId="5" borderId="40" xfId="1" applyFont="1" applyFill="1" applyBorder="1" applyAlignment="1" applyProtection="1">
      <alignment horizontal="center" vertical="center"/>
    </xf>
    <xf numFmtId="44" fontId="16" fillId="5" borderId="41" xfId="1" applyFont="1" applyFill="1" applyBorder="1" applyAlignment="1" applyProtection="1">
      <alignment horizontal="center" vertical="center"/>
    </xf>
    <xf numFmtId="44" fontId="16" fillId="5" borderId="32" xfId="1" applyFont="1" applyFill="1" applyBorder="1" applyAlignment="1" applyProtection="1">
      <alignment horizontal="center" vertical="center"/>
    </xf>
    <xf numFmtId="44" fontId="21" fillId="8" borderId="35" xfId="1" applyFont="1" applyFill="1" applyBorder="1" applyAlignment="1" applyProtection="1">
      <alignment horizontal="center" vertical="center"/>
    </xf>
    <xf numFmtId="44" fontId="21" fillId="8" borderId="37" xfId="1" applyFont="1" applyFill="1" applyBorder="1" applyAlignment="1" applyProtection="1">
      <alignment horizontal="center" vertical="center"/>
    </xf>
    <xf numFmtId="44" fontId="21" fillId="8" borderId="40" xfId="1" applyFont="1" applyFill="1" applyBorder="1" applyAlignment="1" applyProtection="1">
      <alignment horizontal="center" vertical="center"/>
    </xf>
    <xf numFmtId="44" fontId="21" fillId="8" borderId="32" xfId="1" applyFont="1" applyFill="1" applyBorder="1" applyAlignment="1" applyProtection="1">
      <alignment horizontal="center" vertical="center"/>
    </xf>
    <xf numFmtId="44" fontId="19" fillId="0" borderId="36" xfId="1" applyFont="1" applyFill="1" applyBorder="1" applyAlignment="1" applyProtection="1">
      <alignment horizontal="center" vertical="center"/>
    </xf>
    <xf numFmtId="44" fontId="19" fillId="0" borderId="41" xfId="1" applyFont="1" applyFill="1" applyBorder="1" applyAlignment="1" applyProtection="1">
      <alignment horizontal="center" vertical="center"/>
    </xf>
    <xf numFmtId="44" fontId="21" fillId="0" borderId="36" xfId="1" applyFont="1" applyFill="1" applyBorder="1" applyAlignment="1" applyProtection="1">
      <alignment horizontal="center" vertical="center"/>
    </xf>
    <xf numFmtId="44" fontId="21" fillId="0" borderId="37" xfId="1" applyFont="1" applyFill="1" applyBorder="1" applyAlignment="1" applyProtection="1">
      <alignment horizontal="center" vertical="center"/>
    </xf>
    <xf numFmtId="44" fontId="21" fillId="0" borderId="41" xfId="1" applyFont="1" applyFill="1" applyBorder="1" applyAlignment="1" applyProtection="1">
      <alignment horizontal="center" vertical="center"/>
    </xf>
    <xf numFmtId="44" fontId="21" fillId="0" borderId="32" xfId="1" applyFont="1" applyFill="1" applyBorder="1" applyAlignment="1" applyProtection="1">
      <alignment horizontal="center" vertical="center"/>
    </xf>
    <xf numFmtId="0" fontId="9" fillId="0" borderId="41" xfId="0" applyFont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</cellXfs>
  <cellStyles count="6">
    <cellStyle name="20% - Accent3" xfId="3" builtinId="38"/>
    <cellStyle name="Currency" xfId="1" builtinId="4"/>
    <cellStyle name="Hyperlink" xfId="5" builtinId="8"/>
    <cellStyle name="Neutral" xfId="2" builtinId="28"/>
    <cellStyle name="Normal" xfId="0" builtinId="0"/>
    <cellStyle name="Percent" xfId="4" builtinId="5"/>
  </cellStyles>
  <dxfs count="34">
    <dxf>
      <fill>
        <patternFill patternType="lightGray">
          <fgColor rgb="FFFF0000"/>
          <bgColor auto="1"/>
        </patternFill>
      </fill>
    </dxf>
    <dxf>
      <fill>
        <patternFill>
          <bgColor rgb="FFFF0000"/>
        </patternFill>
      </fill>
    </dxf>
    <dxf>
      <fill>
        <patternFill patternType="lightGray">
          <fgColor rgb="FFFF0000"/>
          <bgColor auto="1"/>
        </patternFill>
      </fill>
    </dxf>
    <dxf>
      <fill>
        <patternFill patternType="lightGray">
          <fgColor rgb="FFFF0000"/>
        </patternFill>
      </fill>
    </dxf>
    <dxf>
      <fill>
        <patternFill patternType="lightGray">
          <fgColor rgb="FFFF0000"/>
          <bgColor auto="1"/>
        </patternFill>
      </fill>
    </dxf>
    <dxf>
      <fill>
        <patternFill patternType="lightGray">
          <fgColor rgb="FFFF0000"/>
        </patternFill>
      </fill>
    </dxf>
    <dxf>
      <fill>
        <patternFill patternType="lightGray">
          <fgColor rgb="FFFF0000"/>
        </patternFill>
      </fill>
    </dxf>
    <dxf>
      <fill>
        <patternFill patternType="lightGray">
          <fgColor rgb="FFFF0000"/>
          <bgColor auto="1"/>
        </patternFill>
      </fill>
    </dxf>
    <dxf>
      <fill>
        <patternFill patternType="gray0625">
          <bgColor rgb="FFF2D10A"/>
        </patternFill>
      </fill>
    </dxf>
    <dxf>
      <fill>
        <patternFill patternType="lightGray">
          <fgColor rgb="FFFF0000"/>
          <bgColor auto="1"/>
        </patternFill>
      </fill>
    </dxf>
    <dxf>
      <fill>
        <patternFill patternType="lightGray">
          <fgColor rgb="FFFF0000"/>
          <bgColor auto="1"/>
        </patternFill>
      </fill>
    </dxf>
    <dxf>
      <fill>
        <patternFill patternType="lightGray">
          <fgColor rgb="FFFF0000"/>
        </patternFill>
      </fill>
    </dxf>
    <dxf>
      <fill>
        <patternFill patternType="lightGray">
          <f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 patternType="lightGray">
          <fgColor rgb="FFFF0000"/>
        </patternFill>
      </fill>
    </dxf>
    <dxf>
      <fill>
        <patternFill>
          <bgColor rgb="FFFFC000"/>
        </patternFill>
      </fill>
    </dxf>
    <dxf>
      <fill>
        <patternFill patternType="lightGray">
          <fgColor rgb="FFFF0000"/>
        </patternFill>
      </fill>
    </dxf>
    <dxf>
      <fill>
        <patternFill patternType="gray0625">
          <bgColor rgb="FFF2D10A"/>
        </patternFill>
      </fill>
    </dxf>
    <dxf>
      <fill>
        <patternFill patternType="lightGray">
          <f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 patternType="gray0625">
          <bgColor rgb="FFF2D10A"/>
        </patternFill>
      </fill>
    </dxf>
    <dxf>
      <fill>
        <patternFill patternType="lightGray">
          <fgColor rgb="FFFF0000"/>
        </patternFill>
      </fill>
    </dxf>
    <dxf>
      <fill>
        <patternFill patternType="gray0625">
          <bgColor rgb="FFF2D10A"/>
        </patternFill>
      </fill>
    </dxf>
    <dxf>
      <fill>
        <patternFill patternType="lightGray">
          <fgColor rgb="FFFF0000"/>
        </patternFill>
      </fill>
    </dxf>
    <dxf>
      <fill>
        <patternFill patternType="gray0625">
          <bgColor rgb="FFF2D10A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 patternType="gray0625">
          <fgColor auto="1"/>
          <bgColor rgb="FFF2D10A"/>
        </patternFill>
      </fill>
    </dxf>
  </dxfs>
  <tableStyles count="0" defaultTableStyle="TableStyleMedium2" defaultPivotStyle="PivotStyleLight16"/>
  <colors>
    <mruColors>
      <color rgb="FF00416B"/>
      <color rgb="FFF2D1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2840355</xdr:colOff>
      <xdr:row>2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40355" cy="361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142875</xdr:colOff>
          <xdr:row>5</xdr:row>
          <xdr:rowOff>76200</xdr:rowOff>
        </xdr:from>
        <xdr:to>
          <xdr:col>22</xdr:col>
          <xdr:colOff>447675</xdr:colOff>
          <xdr:row>8</xdr:row>
          <xdr:rowOff>19050</xdr:rowOff>
        </xdr:to>
        <xdr:sp macro="" textlink="">
          <xdr:nvSpPr>
            <xdr:cNvPr id="3081" name="Object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2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aics.com/search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file:///\\fhb-filesvr\Shared\SBA%20Loan%20Files\!%20PPP%20Loans\!PPP%20Origination%20Resources\2nd%20Draw%20Resources" TargetMode="External"/><Relationship Id="rId6" Type="http://schemas.openxmlformats.org/officeDocument/2006/relationships/image" Target="../media/image2.emf"/><Relationship Id="rId5" Type="http://schemas.openxmlformats.org/officeDocument/2006/relationships/package" Target="../embeddings/Microsoft_Word_Document.docx"/><Relationship Id="rId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file:///\\fhb-filesvr\Shared\SBA%20Loan%20Files\!%20PPP%20Loans\!PPP%20Origination%20Resources\2nd%20Draw%20Resources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teams.microsoft.com/l/chat/0/0?users=eric.vangessel@firsthomebank.com" TargetMode="External"/><Relationship Id="rId3" Type="http://schemas.openxmlformats.org/officeDocument/2006/relationships/hyperlink" Target="https://teams.microsoft.com/l/chat/0/0?users=Stephen.Studzinski@Firsthomebank.com" TargetMode="External"/><Relationship Id="rId7" Type="http://schemas.openxmlformats.org/officeDocument/2006/relationships/hyperlink" Target="mailto:Stephen.Studzinski@firsthomebank.com" TargetMode="External"/><Relationship Id="rId2" Type="http://schemas.openxmlformats.org/officeDocument/2006/relationships/hyperlink" Target="https://teams.microsoft.com/l/chat/0/0?users=william.chappell@firsthomebank.com" TargetMode="External"/><Relationship Id="rId1" Type="http://schemas.openxmlformats.org/officeDocument/2006/relationships/hyperlink" Target="https://teams.microsoft.com/l/chat/0/0?users=angela.dodson@firsthomebank.com" TargetMode="External"/><Relationship Id="rId6" Type="http://schemas.openxmlformats.org/officeDocument/2006/relationships/hyperlink" Target="mailto:Travis.Bain@firsthomebank.com" TargetMode="External"/><Relationship Id="rId11" Type="http://schemas.openxmlformats.org/officeDocument/2006/relationships/printerSettings" Target="../printerSettings/printerSettings4.bin"/><Relationship Id="rId5" Type="http://schemas.openxmlformats.org/officeDocument/2006/relationships/hyperlink" Target="mailto:Emma.Olson@firsthomebank.com" TargetMode="External"/><Relationship Id="rId10" Type="http://schemas.openxmlformats.org/officeDocument/2006/relationships/hyperlink" Target="https://teams.microsoft.com/l/chat/0/0?users=Travis.Bain@firsthomebank.com" TargetMode="External"/><Relationship Id="rId4" Type="http://schemas.openxmlformats.org/officeDocument/2006/relationships/hyperlink" Target="https://teams.microsoft.com/l/chat/0/0?users=Palak.Engel@firsthomebank.com" TargetMode="External"/><Relationship Id="rId9" Type="http://schemas.openxmlformats.org/officeDocument/2006/relationships/hyperlink" Target="https://teams.microsoft.com/l/chat/0/0?users=kent.coenen@firsthomeban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3360F-0538-4D18-A091-3419E307FF75}">
  <sheetPr>
    <tabColor rgb="FF00416B"/>
  </sheetPr>
  <dimension ref="A1:S32"/>
  <sheetViews>
    <sheetView showGridLines="0" tabSelected="1" workbookViewId="0">
      <selection activeCell="G33" sqref="G33"/>
    </sheetView>
  </sheetViews>
  <sheetFormatPr defaultColWidth="8.85546875" defaultRowHeight="15" x14ac:dyDescent="0.25"/>
  <cols>
    <col min="1" max="1" width="58.7109375" style="20" customWidth="1"/>
    <col min="2" max="2" width="2.7109375" style="20" customWidth="1"/>
    <col min="3" max="3" width="19.28515625" style="20" bestFit="1" customWidth="1"/>
    <col min="4" max="4" width="2.7109375" style="20" customWidth="1"/>
    <col min="5" max="5" width="17.7109375" style="20" customWidth="1"/>
    <col min="6" max="8" width="8.85546875" style="20"/>
    <col min="9" max="9" width="12" style="20" customWidth="1"/>
    <col min="10" max="10" width="17.85546875" style="20" customWidth="1"/>
    <col min="11" max="16384" width="8.85546875" style="20"/>
  </cols>
  <sheetData>
    <row r="1" spans="1:19" x14ac:dyDescent="0.25">
      <c r="A1" s="159" t="s">
        <v>191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25"/>
      <c r="N1" s="172" t="str">
        <f>IF(C11="Yes","If Lines 14, 19 and/or 26 are blank, enter 0","")</f>
        <v/>
      </c>
      <c r="O1" s="172"/>
      <c r="P1" s="172"/>
      <c r="Q1" s="172"/>
      <c r="R1" s="172"/>
      <c r="S1" s="172"/>
    </row>
    <row r="2" spans="1:19" x14ac:dyDescent="0.25">
      <c r="A2" s="159"/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23"/>
    </row>
    <row r="3" spans="1:19" x14ac:dyDescent="0.25">
      <c r="A3" s="159"/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23"/>
    </row>
    <row r="4" spans="1:19" x14ac:dyDescent="0.25">
      <c r="A4" s="159"/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23"/>
    </row>
    <row r="5" spans="1:19" x14ac:dyDescent="0.25">
      <c r="A5" s="40" t="s">
        <v>28</v>
      </c>
      <c r="E5" s="160" t="s">
        <v>189</v>
      </c>
      <c r="F5" s="161"/>
      <c r="G5" s="161"/>
      <c r="H5" s="161"/>
      <c r="I5" s="161"/>
      <c r="J5" s="161"/>
      <c r="K5" s="161"/>
      <c r="L5" s="162"/>
    </row>
    <row r="6" spans="1:19" x14ac:dyDescent="0.25">
      <c r="E6" s="178" t="s">
        <v>190</v>
      </c>
      <c r="F6" s="179"/>
      <c r="G6" s="179"/>
      <c r="H6" s="179"/>
      <c r="I6" s="179"/>
      <c r="J6" s="179"/>
      <c r="K6" s="179"/>
      <c r="L6" s="180"/>
    </row>
    <row r="7" spans="1:19" ht="15" customHeight="1" thickBot="1" x14ac:dyDescent="0.3">
      <c r="A7" s="40" t="s">
        <v>32</v>
      </c>
      <c r="C7" s="145"/>
      <c r="E7" s="181"/>
      <c r="F7" s="182"/>
      <c r="G7" s="182"/>
      <c r="H7" s="182"/>
      <c r="I7" s="182"/>
      <c r="J7" s="182"/>
      <c r="K7" s="182"/>
      <c r="L7" s="183"/>
    </row>
    <row r="8" spans="1:19" ht="15" customHeight="1" thickBot="1" x14ac:dyDescent="0.3">
      <c r="A8" s="40" t="s">
        <v>33</v>
      </c>
      <c r="C8" s="144"/>
      <c r="E8" s="146" t="str">
        <f>IF(C8="Yes","Please enter their information on the Payroll Cost Adjustment Sheet","")</f>
        <v/>
      </c>
    </row>
    <row r="9" spans="1:19" ht="15" customHeight="1" thickBot="1" x14ac:dyDescent="0.3">
      <c r="A9" s="48" t="s">
        <v>29</v>
      </c>
      <c r="C9" s="144"/>
      <c r="I9" s="27"/>
      <c r="J9" s="27"/>
    </row>
    <row r="10" spans="1:19" ht="15" customHeight="1" thickBot="1" x14ac:dyDescent="0.3">
      <c r="A10" s="48" t="s">
        <v>188</v>
      </c>
      <c r="C10" s="144"/>
      <c r="E10" s="24" t="str">
        <f>IF(C10="Yes","Enter # of months you were in operation:","")</f>
        <v/>
      </c>
      <c r="I10" s="168"/>
      <c r="J10" s="168"/>
    </row>
    <row r="11" spans="1:19" ht="15" customHeight="1" thickBot="1" x14ac:dyDescent="0.3">
      <c r="A11" s="48" t="s">
        <v>273</v>
      </c>
      <c r="C11" s="144"/>
      <c r="E11" s="173" t="str">
        <f>IF(C11="Yes","Schedule C Borrowers, Please Fill Out the Chart Below","")</f>
        <v/>
      </c>
      <c r="F11" s="173"/>
      <c r="G11" s="173"/>
      <c r="H11" s="173"/>
      <c r="I11" s="173"/>
      <c r="J11" s="173"/>
    </row>
    <row r="12" spans="1:19" ht="15" customHeight="1" thickBot="1" x14ac:dyDescent="0.3">
      <c r="A12" s="48" t="s">
        <v>274</v>
      </c>
      <c r="C12" s="145"/>
      <c r="E12" s="42"/>
      <c r="I12" s="43"/>
      <c r="J12" s="43"/>
    </row>
    <row r="13" spans="1:19" x14ac:dyDescent="0.25">
      <c r="A13" s="42"/>
      <c r="E13" s="174" t="str">
        <f>IF(C11="Yes", "Schedule C Information","")</f>
        <v/>
      </c>
      <c r="F13" s="174"/>
      <c r="G13" s="174"/>
      <c r="H13" s="174"/>
      <c r="I13" s="174"/>
      <c r="J13" s="174"/>
    </row>
    <row r="14" spans="1:19" x14ac:dyDescent="0.25">
      <c r="C14" s="40" t="str">
        <f>IF(C11="Yes","",IF(C11="","",IF(C11="No","Borrower Calculation","")))</f>
        <v/>
      </c>
      <c r="E14" s="40" t="str">
        <f>IF(C11="Yes","Schedule C, Line 7:","")</f>
        <v/>
      </c>
      <c r="F14" s="27"/>
      <c r="G14" s="27"/>
      <c r="H14" s="27"/>
      <c r="I14" s="35"/>
      <c r="J14" s="153"/>
      <c r="K14" s="105"/>
      <c r="L14" s="105"/>
      <c r="N14" s="44"/>
    </row>
    <row r="15" spans="1:19" ht="15.75" thickBot="1" x14ac:dyDescent="0.3">
      <c r="A15" s="46" t="str">
        <f>IF(AND(C11="No",C7="Yes"),"Enter Payroll Cost from Payroll Company Provided Document:",IF(AND(C11="No",C7="No"),"Wages &amp; Tips:",""))</f>
        <v/>
      </c>
      <c r="C15" s="49"/>
      <c r="E15" s="154" t="str">
        <f>IF(C11="Yes","Schedule C, Line 14:","")</f>
        <v/>
      </c>
      <c r="F15" s="155"/>
      <c r="G15" s="155"/>
      <c r="H15" s="155"/>
      <c r="I15" s="155"/>
      <c r="J15" s="156">
        <v>0</v>
      </c>
      <c r="K15" s="150"/>
      <c r="N15" s="44"/>
    </row>
    <row r="16" spans="1:19" ht="15.75" thickBot="1" x14ac:dyDescent="0.3">
      <c r="A16" s="46" t="str">
        <f>IF(AND(C7="No",C11="No"),"Unemployment Tax:","")</f>
        <v/>
      </c>
      <c r="C16" s="51"/>
      <c r="E16" s="154" t="str">
        <f>IF(C11="Yes","Schedule C, Line 19:","")</f>
        <v/>
      </c>
      <c r="F16" s="155"/>
      <c r="G16" s="155"/>
      <c r="H16" s="155"/>
      <c r="I16" s="155"/>
      <c r="J16" s="156">
        <v>0</v>
      </c>
      <c r="K16" s="150"/>
      <c r="N16" s="44"/>
    </row>
    <row r="17" spans="1:14" ht="15.75" thickBot="1" x14ac:dyDescent="0.3">
      <c r="A17" s="46" t="str">
        <f>IF(AND(C7="No",C11="No"),"Health Benefits:","")</f>
        <v/>
      </c>
      <c r="C17" s="51"/>
      <c r="E17" s="154" t="str">
        <f>IF(C11="Yes","Schedule C, Line 26:","")</f>
        <v/>
      </c>
      <c r="F17" s="155"/>
      <c r="G17" s="155"/>
      <c r="H17" s="155"/>
      <c r="I17" s="155"/>
      <c r="J17" s="156"/>
      <c r="K17" s="150"/>
      <c r="N17" s="44"/>
    </row>
    <row r="18" spans="1:14" ht="15.75" thickBot="1" x14ac:dyDescent="0.3">
      <c r="A18" s="46" t="str">
        <f>IF(AND(C7="No",C11="No"),"Retirement Benefits","")</f>
        <v/>
      </c>
      <c r="C18" s="51"/>
      <c r="E18" s="151"/>
      <c r="F18" s="150"/>
      <c r="G18" s="150"/>
      <c r="H18" s="150"/>
      <c r="I18" s="150"/>
      <c r="J18" s="152"/>
      <c r="K18" s="150"/>
      <c r="N18" s="44"/>
    </row>
    <row r="19" spans="1:14" ht="15.75" thickBot="1" x14ac:dyDescent="0.3">
      <c r="A19" s="46" t="str">
        <f>IF(AND(C7="No",C11="No"),"State/Local Taxes","")</f>
        <v/>
      </c>
      <c r="C19" s="51"/>
      <c r="E19" s="77"/>
      <c r="I19" s="46" t="str">
        <f>IF(C11="Yes","Monthly Owner Compensation:","")</f>
        <v/>
      </c>
      <c r="J19" s="158" t="str">
        <f>IF(AND(C11="Yes",J14&gt;0,(J14-J15-J16-J17)&gt;100000),100000/12,IF(AND(C11="Yes",J14&gt;0,(J14-J15-J16-J17)&lt;=100000, (J14-J15-J16-J17)&gt;0),(J14-J15-J16-J17)/12,IF(AND(C11="Yes",J14&gt;0, (J14-J15-J16-J17)&lt;=0),0,"")))</f>
        <v/>
      </c>
      <c r="K19" s="136" t="str">
        <f>IF(AND(C11="Yes",(J14-J15-J16-J17)&lt;0),"If Line 7 minus Lines 14, 19 and 26 is less than 0, amount is $0","")</f>
        <v/>
      </c>
    </row>
    <row r="20" spans="1:14" x14ac:dyDescent="0.25">
      <c r="I20" s="46" t="str">
        <f>IF(C11="Yes","Average Monthly Payroll for Employees (not including owners):","")</f>
        <v/>
      </c>
      <c r="J20" s="158" t="str">
        <f>IF(C11="Yes",(J17+J16+J15)/12,"")</f>
        <v/>
      </c>
    </row>
    <row r="21" spans="1:14" x14ac:dyDescent="0.25">
      <c r="A21" s="46" t="str">
        <f>IF(AND(C11="No",C8="Yes"),"Eligible Payroll Less High Cost Employee Adjustment:",IF(AND(C8="No",C11="no"),"Eligible Payroll Cost:",""))</f>
        <v/>
      </c>
      <c r="C21" s="149" t="str">
        <f>IF(AND(C7="Yes",C11="Yes",C16-C17-C18-C19&lt;=100000,C16&gt;0,C16-C17-C18-C19&gt;0),(C15+C16-C17-C18-C19)-'Payroll Cost Adjustment'!AA106,IF(AND(C7="Yes",C11="Yes",C16-C17-C18-C19&gt;100000,C16&gt;0),(100000+C16+C17+C18)-'Payroll Cost Adjustment'!AA106,IF(AND(C7="No",C11="Yes",C15-C16-C17-C18&lt;=100000,C15&gt;0,(C15-C16-C17-C18)&gt;0),(C15-C16-C17-C18+C19)-'Payroll Cost Adjustment'!AA106,IF(AND(C7="No",C11="Yes",C15-C16-C17-C18&gt;100000,C15&gt;0),(100000+C19+C18+C17+C16)-'Payroll Cost Adjustment'!AA106,IF(AND(C7="Yes",C11="No"),C15-'Payroll Cost Adjustment'!AA106,IF(AND(C7="No",C11="No"),SUM(C15:C19)-'Payroll Cost Adjustment'!AA106,""))))))</f>
        <v/>
      </c>
      <c r="G21" s="175" t="str">
        <f>IF(C11="Yes","Calculated Loan Amount:","")</f>
        <v/>
      </c>
      <c r="H21" s="175"/>
      <c r="I21" s="175"/>
      <c r="J21" s="176" t="str">
        <f>IF(AND(C11="Yes",C12="No"),(J20+J19)*2.5,IF(AND(C11="Yes",C12="Yes"),(J20+J19)*3.5,""))</f>
        <v/>
      </c>
      <c r="K21" s="28"/>
    </row>
    <row r="22" spans="1:14" ht="14.45" hidden="1" customHeight="1" x14ac:dyDescent="0.25">
      <c r="C22" s="47"/>
      <c r="G22" s="175"/>
      <c r="H22" s="175"/>
      <c r="I22" s="175"/>
      <c r="J22" s="176"/>
      <c r="K22" s="28"/>
    </row>
    <row r="23" spans="1:14" ht="14.45" hidden="1" customHeight="1" x14ac:dyDescent="0.25">
      <c r="C23" s="147"/>
      <c r="G23" s="175"/>
      <c r="H23" s="175"/>
      <c r="I23" s="175"/>
      <c r="J23" s="176"/>
    </row>
    <row r="24" spans="1:14" ht="15.75" thickBot="1" x14ac:dyDescent="0.3">
      <c r="A24" s="148"/>
      <c r="C24" s="147"/>
      <c r="G24" s="175"/>
      <c r="H24" s="175"/>
      <c r="I24" s="175"/>
      <c r="J24" s="177"/>
    </row>
    <row r="25" spans="1:14" hidden="1" x14ac:dyDescent="0.25">
      <c r="A25" s="148"/>
      <c r="C25" s="147"/>
    </row>
    <row r="26" spans="1:14" ht="14.45" hidden="1" customHeight="1" x14ac:dyDescent="0.25"/>
    <row r="27" spans="1:14" ht="14.45" hidden="1" customHeight="1" x14ac:dyDescent="0.25">
      <c r="A27" s="166" t="s">
        <v>34</v>
      </c>
      <c r="C27" s="167" t="str">
        <f>IFERROR(IF(AND(C9="yes",C12="yes",C11="No"),C21/3*3.5,IF(AND(C9="yes",C12="no",C11="No"),C21/3*2.5,IF(AND(C10="yes",C12="yes",C11="No"),C21/I10*3.5,IF(AND(C10="yes",C12="no",C11="No"),C21/I10*2.5,IF(AND(C9="no",C12="yes",C11="No"),C21/12*3.5,IF(AND(C9="No",C10="no",C12="no",C11="No"),C21/12*2.5,"")))))),"")</f>
        <v/>
      </c>
      <c r="D27" s="45"/>
    </row>
    <row r="28" spans="1:14" ht="14.45" hidden="1" customHeight="1" x14ac:dyDescent="0.25">
      <c r="A28" s="166"/>
      <c r="C28" s="167"/>
      <c r="D28" s="45"/>
      <c r="E28" s="157"/>
      <c r="F28" s="157"/>
      <c r="G28" s="157"/>
      <c r="H28" s="157"/>
      <c r="I28" s="157"/>
      <c r="J28" s="157"/>
      <c r="K28" s="157"/>
      <c r="L28" s="157"/>
    </row>
    <row r="29" spans="1:14" ht="15.75" hidden="1" thickBot="1" x14ac:dyDescent="0.3">
      <c r="E29" s="157"/>
      <c r="F29" s="157"/>
      <c r="G29" s="157"/>
      <c r="H29" s="157"/>
      <c r="I29" s="157"/>
      <c r="J29" s="157"/>
      <c r="K29" s="157"/>
      <c r="L29" s="157"/>
    </row>
    <row r="30" spans="1:14" x14ac:dyDescent="0.25">
      <c r="A30" s="171" t="s">
        <v>187</v>
      </c>
      <c r="C30" s="163" t="str">
        <f>IFERROR(IF(AND(C27&gt;2000000,C27&lt;&gt;""),2000000,ROUNDDOWN(C27,-2)),"")</f>
        <v/>
      </c>
      <c r="E30" s="169" t="str">
        <f>IF(AND(C27&gt;2000000,C27&lt;&gt;""),"Please note: per SBA guidelines, total loan amount cannot exceed $2,000,000. The workbook accounts for this, please do not adjust your figures","")</f>
        <v/>
      </c>
      <c r="F30" s="169"/>
      <c r="G30" s="169"/>
      <c r="H30" s="169"/>
      <c r="I30" s="169"/>
      <c r="J30" s="169"/>
      <c r="K30" s="169"/>
      <c r="L30" s="169"/>
    </row>
    <row r="31" spans="1:14" x14ac:dyDescent="0.25">
      <c r="A31" s="171"/>
      <c r="C31" s="164"/>
      <c r="E31" s="170"/>
      <c r="F31" s="170"/>
      <c r="G31" s="170"/>
      <c r="H31" s="170"/>
      <c r="I31" s="170"/>
      <c r="J31" s="170"/>
      <c r="K31" s="170"/>
      <c r="L31" s="170"/>
    </row>
    <row r="32" spans="1:14" ht="15.75" thickBot="1" x14ac:dyDescent="0.3">
      <c r="A32" s="171"/>
      <c r="C32" s="165"/>
      <c r="E32" s="170"/>
      <c r="F32" s="170"/>
      <c r="G32" s="170"/>
      <c r="H32" s="170"/>
      <c r="I32" s="170"/>
      <c r="J32" s="170"/>
      <c r="K32" s="170"/>
      <c r="L32" s="170"/>
    </row>
  </sheetData>
  <sheetProtection algorithmName="SHA-512" hashValue="PlbE0UJwD1eLFuSuwI1f8tBAGuQHcLtekhqk0wI1IMYmmmxweUQbqTUA5bIvaUvXvNH/Tl64bQF8Q2VhtND6Hw==" saltValue="tiG9yxtRtQHAXL9oHYIFjA==" spinCount="100000" sheet="1" formatCells="0" formatColumns="0" formatRows="0" insertColumns="0" insertRows="0" insertHyperlinks="0" deleteColumns="0" deleteRows="0" selectLockedCells="1" sort="0" autoFilter="0" pivotTables="0"/>
  <mergeCells count="14">
    <mergeCell ref="N1:S1"/>
    <mergeCell ref="E11:J11"/>
    <mergeCell ref="E13:J13"/>
    <mergeCell ref="G21:I24"/>
    <mergeCell ref="J21:J24"/>
    <mergeCell ref="E6:L7"/>
    <mergeCell ref="A1:L4"/>
    <mergeCell ref="E5:L5"/>
    <mergeCell ref="C30:C32"/>
    <mergeCell ref="A27:A28"/>
    <mergeCell ref="C27:C28"/>
    <mergeCell ref="I10:J10"/>
    <mergeCell ref="E30:L32"/>
    <mergeCell ref="A30:A32"/>
  </mergeCells>
  <conditionalFormatting sqref="C7:C12">
    <cfRule type="containsBlanks" dxfId="33" priority="15">
      <formula>LEN(TRIM(C7))=0</formula>
    </cfRule>
  </conditionalFormatting>
  <conditionalFormatting sqref="I10:J10">
    <cfRule type="expression" dxfId="32" priority="10">
      <formula>$C10="Yes"</formula>
    </cfRule>
    <cfRule type="expression" dxfId="31" priority="11">
      <formula>"C6=Yes"</formula>
    </cfRule>
  </conditionalFormatting>
  <conditionalFormatting sqref="C12">
    <cfRule type="containsBlanks" dxfId="30" priority="16">
      <formula>LEN(TRIM(C12))=0</formula>
    </cfRule>
  </conditionalFormatting>
  <conditionalFormatting sqref="C15:C17">
    <cfRule type="expression" dxfId="29" priority="1">
      <formula>$A15:$A19=""</formula>
    </cfRule>
    <cfRule type="containsBlanks" dxfId="28" priority="2">
      <formula>LEN(TRIM(C15))=0</formula>
    </cfRule>
  </conditionalFormatting>
  <conditionalFormatting sqref="C18">
    <cfRule type="expression" dxfId="27" priority="33">
      <formula>$A18:$A23=""</formula>
    </cfRule>
    <cfRule type="containsBlanks" dxfId="26" priority="34">
      <formula>LEN(TRIM(C18))=0</formula>
    </cfRule>
  </conditionalFormatting>
  <conditionalFormatting sqref="I12:J12">
    <cfRule type="expression" dxfId="25" priority="40">
      <formula>$C13="Yes"</formula>
    </cfRule>
    <cfRule type="expression" dxfId="24" priority="41">
      <formula>"C6=Yes"</formula>
    </cfRule>
  </conditionalFormatting>
  <conditionalFormatting sqref="C19">
    <cfRule type="expression" dxfId="23" priority="42">
      <formula>$A19:$A25=""</formula>
    </cfRule>
    <cfRule type="containsBlanks" dxfId="22" priority="43">
      <formula>LEN(TRIM(C19))=0</formula>
    </cfRule>
  </conditionalFormatting>
  <hyperlinks>
    <hyperlink ref="E5" r:id="rId1" location="naics" xr:uid="{058BDEBB-9B6E-4736-BEB8-B9A4CD9D72AE}"/>
  </hyperlinks>
  <pageMargins left="0.7" right="0.7" top="0.75" bottom="0.75" header="0.3" footer="0.3"/>
  <pageSetup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4C9F3772-4B59-453B-A084-167E9882470D}">
          <x14:formula1>
            <xm:f>'Data Validation'!$B$1:$B$2</xm:f>
          </x14:formula1>
          <xm:sqref>C9:C12</xm:sqref>
        </x14:dataValidation>
        <x14:dataValidation type="list" allowBlank="1" showInputMessage="1" showErrorMessage="1" xr:uid="{52BF2C53-9AFF-492D-B51E-4CD4FFFBFC35}">
          <x14:formula1>
            <xm:f>'Data Validation'!$B$1:$B$2</xm:f>
          </x14:formula1>
          <xm:sqref>C12 C7:C12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78785-3D6D-4797-B93D-B666CBE927AF}">
  <sheetPr>
    <tabColor rgb="FFF2D10A"/>
  </sheetPr>
  <dimension ref="A1:BG107"/>
  <sheetViews>
    <sheetView topLeftCell="O97" workbookViewId="0">
      <selection activeCell="AA106" sqref="AA106"/>
    </sheetView>
  </sheetViews>
  <sheetFormatPr defaultRowHeight="15" x14ac:dyDescent="0.25"/>
  <cols>
    <col min="1" max="1" width="58.85546875" bestFit="1" customWidth="1"/>
    <col min="2" max="2" width="25.140625" bestFit="1" customWidth="1"/>
    <col min="3" max="3" width="2.85546875" customWidth="1"/>
    <col min="4" max="4" width="26.5703125" bestFit="1" customWidth="1"/>
    <col min="6" max="6" width="35.7109375" bestFit="1" customWidth="1"/>
    <col min="7" max="7" width="25.140625" bestFit="1" customWidth="1"/>
    <col min="9" max="9" width="26.5703125" bestFit="1" customWidth="1"/>
    <col min="11" max="11" width="35.7109375" bestFit="1" customWidth="1"/>
    <col min="12" max="12" width="23.5703125" bestFit="1" customWidth="1"/>
    <col min="14" max="14" width="26.5703125" bestFit="1" customWidth="1"/>
    <col min="16" max="16" width="35.7109375" bestFit="1" customWidth="1"/>
    <col min="17" max="17" width="23.5703125" bestFit="1" customWidth="1"/>
    <col min="19" max="19" width="26.5703125" bestFit="1" customWidth="1"/>
    <col min="21" max="21" width="35.7109375" bestFit="1" customWidth="1"/>
    <col min="22" max="22" width="23.5703125" bestFit="1" customWidth="1"/>
    <col min="24" max="24" width="26.5703125" bestFit="1" customWidth="1"/>
    <col min="27" max="27" width="11.28515625" bestFit="1" customWidth="1"/>
    <col min="54" max="54" width="44.42578125" bestFit="1" customWidth="1"/>
    <col min="55" max="58" width="46.7109375" bestFit="1" customWidth="1"/>
    <col min="59" max="59" width="5.28515625" bestFit="1" customWidth="1"/>
  </cols>
  <sheetData>
    <row r="1" spans="1:59" x14ac:dyDescent="0.25">
      <c r="A1" t="s">
        <v>0</v>
      </c>
    </row>
    <row r="2" spans="1:59" x14ac:dyDescent="0.25">
      <c r="A2" t="s">
        <v>1</v>
      </c>
      <c r="F2" t="s">
        <v>2</v>
      </c>
      <c r="K2" t="s">
        <v>3</v>
      </c>
      <c r="P2" t="s">
        <v>4</v>
      </c>
      <c r="U2" t="s">
        <v>5</v>
      </c>
      <c r="BB2" t="s">
        <v>6</v>
      </c>
      <c r="BC2" t="s">
        <v>7</v>
      </c>
      <c r="BD2" t="s">
        <v>8</v>
      </c>
      <c r="BE2" t="s">
        <v>9</v>
      </c>
      <c r="BF2" t="s">
        <v>10</v>
      </c>
      <c r="BG2" t="s">
        <v>11</v>
      </c>
    </row>
    <row r="3" spans="1:59" x14ac:dyDescent="0.25">
      <c r="A3" s="1" t="s">
        <v>12</v>
      </c>
      <c r="B3" s="2"/>
      <c r="C3" s="3"/>
      <c r="D3" s="4"/>
      <c r="F3" s="1" t="s">
        <v>12</v>
      </c>
      <c r="G3" s="2"/>
      <c r="H3" s="3"/>
      <c r="I3" s="4"/>
      <c r="K3" s="1" t="s">
        <v>12</v>
      </c>
      <c r="L3" s="2"/>
      <c r="M3" s="3"/>
      <c r="N3" s="4"/>
      <c r="P3" s="1" t="s">
        <v>12</v>
      </c>
      <c r="Q3" s="2"/>
      <c r="R3" s="3"/>
      <c r="S3" s="4"/>
      <c r="U3" s="1" t="s">
        <v>12</v>
      </c>
      <c r="V3" s="2"/>
      <c r="W3" s="3"/>
      <c r="X3" s="4"/>
      <c r="BB3">
        <v>999.99999999999636</v>
      </c>
      <c r="BC3">
        <v>0</v>
      </c>
      <c r="BD3">
        <v>0</v>
      </c>
      <c r="BE3">
        <v>0</v>
      </c>
      <c r="BF3">
        <v>0</v>
      </c>
      <c r="BG3">
        <v>999.99999999999636</v>
      </c>
    </row>
    <row r="4" spans="1:59" x14ac:dyDescent="0.25">
      <c r="A4" s="5"/>
      <c r="B4" s="6" t="s">
        <v>13</v>
      </c>
      <c r="D4" s="7" t="s">
        <v>14</v>
      </c>
      <c r="F4" s="5"/>
      <c r="G4" s="6" t="s">
        <v>13</v>
      </c>
      <c r="I4" s="7" t="s">
        <v>14</v>
      </c>
      <c r="K4" s="5"/>
      <c r="L4" s="6" t="s">
        <v>13</v>
      </c>
      <c r="N4" s="7" t="s">
        <v>14</v>
      </c>
      <c r="P4" s="5"/>
      <c r="Q4" s="6" t="s">
        <v>13</v>
      </c>
      <c r="S4" s="7" t="s">
        <v>14</v>
      </c>
      <c r="U4" s="5"/>
      <c r="V4" s="6" t="s">
        <v>13</v>
      </c>
      <c r="X4" s="7" t="s">
        <v>14</v>
      </c>
      <c r="BB4" t="s">
        <v>15</v>
      </c>
      <c r="BC4" t="s">
        <v>16</v>
      </c>
      <c r="BD4" t="s">
        <v>17</v>
      </c>
      <c r="BE4" t="s">
        <v>18</v>
      </c>
      <c r="BF4" t="s">
        <v>19</v>
      </c>
    </row>
    <row r="5" spans="1:59" x14ac:dyDescent="0.25">
      <c r="A5" s="8" t="s">
        <v>20</v>
      </c>
      <c r="B5" s="9"/>
      <c r="D5" s="9"/>
      <c r="F5" s="8" t="s">
        <v>20</v>
      </c>
      <c r="G5" s="9"/>
      <c r="I5" s="9"/>
      <c r="K5" s="8" t="s">
        <v>20</v>
      </c>
      <c r="L5" s="9"/>
      <c r="N5" s="9"/>
      <c r="P5" s="8" t="s">
        <v>20</v>
      </c>
      <c r="Q5" s="9"/>
      <c r="S5" s="9"/>
      <c r="U5" s="8" t="s">
        <v>20</v>
      </c>
      <c r="V5" s="9"/>
      <c r="X5" s="9"/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</row>
    <row r="6" spans="1:59" x14ac:dyDescent="0.25">
      <c r="A6" s="8" t="s">
        <v>21</v>
      </c>
      <c r="B6" s="10"/>
      <c r="D6" s="11">
        <v>12</v>
      </c>
      <c r="F6" s="8" t="s">
        <v>21</v>
      </c>
      <c r="G6" s="10"/>
      <c r="I6" s="11">
        <v>12</v>
      </c>
      <c r="K6" s="8" t="s">
        <v>21</v>
      </c>
      <c r="L6" s="10"/>
      <c r="N6" s="11">
        <v>12</v>
      </c>
      <c r="P6" s="8" t="s">
        <v>21</v>
      </c>
      <c r="Q6" s="10"/>
      <c r="S6" s="11">
        <v>12</v>
      </c>
      <c r="U6" s="8" t="s">
        <v>21</v>
      </c>
      <c r="V6" s="10"/>
      <c r="X6" s="11">
        <v>12</v>
      </c>
      <c r="BF6" t="s">
        <v>22</v>
      </c>
      <c r="BG6">
        <v>999.99999999999636</v>
      </c>
    </row>
    <row r="7" spans="1:59" x14ac:dyDescent="0.25">
      <c r="A7" s="8" t="s">
        <v>23</v>
      </c>
      <c r="B7" s="12">
        <f>IFERROR((B5/B6)*12,0)</f>
        <v>0</v>
      </c>
      <c r="D7" s="13"/>
      <c r="F7" s="8" t="s">
        <v>23</v>
      </c>
      <c r="G7" s="12">
        <f>IFERROR((G5/G6)*12,0)</f>
        <v>0</v>
      </c>
      <c r="I7" s="13"/>
      <c r="K7" s="8" t="s">
        <v>23</v>
      </c>
      <c r="L7" s="12">
        <f>IFERROR((L5/L6)*12,0)</f>
        <v>0</v>
      </c>
      <c r="N7" s="13"/>
      <c r="P7" s="8" t="s">
        <v>23</v>
      </c>
      <c r="Q7" s="12">
        <f>IFERROR((Q5/Q6)*12,0)</f>
        <v>0</v>
      </c>
      <c r="S7" s="13"/>
      <c r="U7" s="8" t="s">
        <v>23</v>
      </c>
      <c r="V7" s="12">
        <f>IFERROR((V5/V6)*12,0)</f>
        <v>0</v>
      </c>
      <c r="X7" s="13"/>
    </row>
    <row r="8" spans="1:59" x14ac:dyDescent="0.25">
      <c r="A8" s="8" t="s">
        <v>24</v>
      </c>
      <c r="B8" s="12">
        <f>+B7/12</f>
        <v>0</v>
      </c>
      <c r="D8" s="13"/>
      <c r="F8" s="8" t="s">
        <v>24</v>
      </c>
      <c r="G8" s="12">
        <f>+G7/12</f>
        <v>0</v>
      </c>
      <c r="I8" s="13"/>
      <c r="K8" s="8" t="s">
        <v>24</v>
      </c>
      <c r="L8" s="12">
        <f>+L7/12</f>
        <v>0</v>
      </c>
      <c r="N8" s="13"/>
      <c r="P8" s="8" t="s">
        <v>24</v>
      </c>
      <c r="Q8" s="12">
        <f>+Q7/12</f>
        <v>0</v>
      </c>
      <c r="S8" s="13"/>
      <c r="U8" s="8" t="s">
        <v>24</v>
      </c>
      <c r="V8" s="12">
        <f>+V7/12</f>
        <v>0</v>
      </c>
      <c r="X8" s="13"/>
    </row>
    <row r="9" spans="1:59" x14ac:dyDescent="0.25">
      <c r="A9" s="8" t="s">
        <v>25</v>
      </c>
      <c r="B9" s="12">
        <f>100000/12</f>
        <v>8333.3333333333339</v>
      </c>
      <c r="D9" s="13"/>
      <c r="F9" s="8" t="s">
        <v>25</v>
      </c>
      <c r="G9" s="12">
        <f>100000/12</f>
        <v>8333.3333333333339</v>
      </c>
      <c r="I9" s="13"/>
      <c r="K9" s="8" t="s">
        <v>25</v>
      </c>
      <c r="L9" s="12">
        <f>100000/12</f>
        <v>8333.3333333333339</v>
      </c>
      <c r="N9" s="13"/>
      <c r="P9" s="8" t="s">
        <v>25</v>
      </c>
      <c r="Q9" s="12">
        <f>100000/12</f>
        <v>8333.3333333333339</v>
      </c>
      <c r="S9" s="13"/>
      <c r="U9" s="8" t="s">
        <v>25</v>
      </c>
      <c r="V9" s="12">
        <f>100000/12</f>
        <v>8333.3333333333339</v>
      </c>
      <c r="X9" s="13"/>
    </row>
    <row r="10" spans="1:59" x14ac:dyDescent="0.25">
      <c r="A10" s="8" t="s">
        <v>26</v>
      </c>
      <c r="B10" s="12">
        <f>+B8-B9</f>
        <v>-8333.3333333333339</v>
      </c>
      <c r="D10" s="13"/>
      <c r="F10" s="8" t="s">
        <v>26</v>
      </c>
      <c r="G10" s="12">
        <f>+G8-G9</f>
        <v>-8333.3333333333339</v>
      </c>
      <c r="I10" s="13"/>
      <c r="K10" s="8" t="s">
        <v>26</v>
      </c>
      <c r="L10" s="12">
        <f>+L8-L9</f>
        <v>-8333.3333333333339</v>
      </c>
      <c r="N10" s="13"/>
      <c r="P10" s="8" t="s">
        <v>26</v>
      </c>
      <c r="Q10" s="12">
        <f>+Q8-Q9</f>
        <v>-8333.3333333333339</v>
      </c>
      <c r="S10" s="13"/>
      <c r="U10" s="8" t="s">
        <v>26</v>
      </c>
      <c r="V10" s="12">
        <f>+V8-V9</f>
        <v>-8333.3333333333339</v>
      </c>
      <c r="X10" s="13"/>
    </row>
    <row r="11" spans="1:59" x14ac:dyDescent="0.25">
      <c r="A11" s="8" t="s">
        <v>21</v>
      </c>
      <c r="B11" s="14">
        <f>+B6</f>
        <v>0</v>
      </c>
      <c r="D11" s="13"/>
      <c r="F11" s="8" t="s">
        <v>21</v>
      </c>
      <c r="G11" s="14">
        <f>+G6</f>
        <v>0</v>
      </c>
      <c r="I11" s="13"/>
      <c r="K11" s="8" t="s">
        <v>21</v>
      </c>
      <c r="L11" s="14">
        <f>+L6</f>
        <v>0</v>
      </c>
      <c r="N11" s="13"/>
      <c r="P11" s="8" t="s">
        <v>21</v>
      </c>
      <c r="Q11" s="14">
        <f>+Q6</f>
        <v>0</v>
      </c>
      <c r="S11" s="13"/>
      <c r="U11" s="8" t="s">
        <v>21</v>
      </c>
      <c r="V11" s="14">
        <f>+V6</f>
        <v>0</v>
      </c>
      <c r="X11" s="13"/>
    </row>
    <row r="12" spans="1:59" x14ac:dyDescent="0.25">
      <c r="A12" s="15" t="s">
        <v>27</v>
      </c>
      <c r="B12" s="16">
        <f>+B10*B11</f>
        <v>0</v>
      </c>
      <c r="C12" s="17"/>
      <c r="D12" s="18">
        <f>IF(+D5-100000=-100000,0,D5-100000)</f>
        <v>0</v>
      </c>
      <c r="F12" s="15" t="s">
        <v>27</v>
      </c>
      <c r="G12" s="16">
        <f>+G10*G11</f>
        <v>0</v>
      </c>
      <c r="H12" s="17"/>
      <c r="I12" s="18">
        <f>IF(+I5-100000=-100000,0,I5-100000)</f>
        <v>0</v>
      </c>
      <c r="K12" s="15" t="s">
        <v>27</v>
      </c>
      <c r="L12" s="16">
        <f>+L10*L11</f>
        <v>0</v>
      </c>
      <c r="M12" s="17"/>
      <c r="N12" s="18">
        <f>IF(+N5-100000=-100000,0,N5-100000)</f>
        <v>0</v>
      </c>
      <c r="P12" s="15" t="s">
        <v>27</v>
      </c>
      <c r="Q12" s="16">
        <f>+Q10*Q11</f>
        <v>0</v>
      </c>
      <c r="R12" s="17"/>
      <c r="S12" s="18">
        <f>IF(+S5-100000=-100000,0,S5-100000)</f>
        <v>0</v>
      </c>
      <c r="U12" s="15" t="s">
        <v>27</v>
      </c>
      <c r="V12" s="16">
        <f>+V10*V11</f>
        <v>0</v>
      </c>
      <c r="W12" s="17"/>
      <c r="X12" s="18">
        <f>IF(+X5-100000=-100000,0,X5-100000)</f>
        <v>0</v>
      </c>
    </row>
    <row r="13" spans="1:59" x14ac:dyDescent="0.25">
      <c r="A13" s="1" t="s">
        <v>12</v>
      </c>
      <c r="B13" s="2"/>
      <c r="C13" s="3"/>
      <c r="D13" s="4"/>
      <c r="F13" s="1" t="s">
        <v>12</v>
      </c>
      <c r="G13" s="2"/>
      <c r="H13" s="3"/>
      <c r="I13" s="4"/>
      <c r="K13" s="1" t="s">
        <v>12</v>
      </c>
      <c r="L13" s="2"/>
      <c r="M13" s="3"/>
      <c r="N13" s="4"/>
      <c r="P13" s="1" t="s">
        <v>12</v>
      </c>
      <c r="Q13" s="2"/>
      <c r="R13" s="3"/>
      <c r="S13" s="4"/>
      <c r="U13" s="1" t="s">
        <v>12</v>
      </c>
      <c r="V13" s="2"/>
      <c r="W13" s="3"/>
      <c r="X13" s="4"/>
    </row>
    <row r="14" spans="1:59" x14ac:dyDescent="0.25">
      <c r="A14" s="5"/>
      <c r="B14" s="6" t="s">
        <v>13</v>
      </c>
      <c r="D14" s="7" t="s">
        <v>14</v>
      </c>
      <c r="F14" s="5"/>
      <c r="G14" s="6" t="s">
        <v>13</v>
      </c>
      <c r="I14" s="7" t="s">
        <v>14</v>
      </c>
      <c r="K14" s="5"/>
      <c r="L14" s="6" t="s">
        <v>13</v>
      </c>
      <c r="N14" s="7" t="s">
        <v>14</v>
      </c>
      <c r="P14" s="5"/>
      <c r="Q14" s="6" t="s">
        <v>13</v>
      </c>
      <c r="S14" s="7" t="s">
        <v>14</v>
      </c>
      <c r="U14" s="5"/>
      <c r="V14" s="6" t="s">
        <v>13</v>
      </c>
      <c r="X14" s="7" t="s">
        <v>14</v>
      </c>
    </row>
    <row r="15" spans="1:59" x14ac:dyDescent="0.25">
      <c r="A15" s="8" t="s">
        <v>20</v>
      </c>
      <c r="B15" s="9"/>
      <c r="D15" s="9"/>
      <c r="F15" s="8" t="s">
        <v>20</v>
      </c>
      <c r="G15" s="9"/>
      <c r="I15" s="9"/>
      <c r="K15" s="8" t="s">
        <v>20</v>
      </c>
      <c r="L15" s="9"/>
      <c r="N15" s="9"/>
      <c r="P15" s="8" t="s">
        <v>20</v>
      </c>
      <c r="Q15" s="9"/>
      <c r="S15" s="9"/>
      <c r="U15" s="8" t="s">
        <v>20</v>
      </c>
      <c r="V15" s="9"/>
      <c r="X15" s="9"/>
    </row>
    <row r="16" spans="1:59" x14ac:dyDescent="0.25">
      <c r="A16" s="8" t="s">
        <v>21</v>
      </c>
      <c r="B16" s="10"/>
      <c r="D16" s="11">
        <v>12</v>
      </c>
      <c r="F16" s="8" t="s">
        <v>21</v>
      </c>
      <c r="G16" s="10"/>
      <c r="I16" s="11">
        <v>12</v>
      </c>
      <c r="K16" s="8" t="s">
        <v>21</v>
      </c>
      <c r="L16" s="10"/>
      <c r="N16" s="11">
        <v>12</v>
      </c>
      <c r="P16" s="8" t="s">
        <v>21</v>
      </c>
      <c r="Q16" s="10"/>
      <c r="S16" s="11">
        <v>12</v>
      </c>
      <c r="U16" s="8" t="s">
        <v>21</v>
      </c>
      <c r="V16" s="10"/>
      <c r="X16" s="11">
        <v>12</v>
      </c>
    </row>
    <row r="17" spans="1:24" x14ac:dyDescent="0.25">
      <c r="A17" s="8" t="s">
        <v>23</v>
      </c>
      <c r="B17" s="12">
        <f>IFERROR((B15/B16)*12,0)</f>
        <v>0</v>
      </c>
      <c r="D17" s="13"/>
      <c r="F17" s="8" t="s">
        <v>23</v>
      </c>
      <c r="G17" s="12">
        <f>IFERROR((G15/G16)*12,0)</f>
        <v>0</v>
      </c>
      <c r="I17" s="13"/>
      <c r="K17" s="8" t="s">
        <v>23</v>
      </c>
      <c r="L17" s="12">
        <f>IFERROR((L15/L16)*12,0)</f>
        <v>0</v>
      </c>
      <c r="N17" s="13"/>
      <c r="P17" s="8" t="s">
        <v>23</v>
      </c>
      <c r="Q17" s="12">
        <f>IFERROR((Q15/Q16)*12,0)</f>
        <v>0</v>
      </c>
      <c r="S17" s="13"/>
      <c r="U17" s="8" t="s">
        <v>23</v>
      </c>
      <c r="V17" s="12">
        <f>IFERROR((V15/V16)*12,0)</f>
        <v>0</v>
      </c>
      <c r="X17" s="13"/>
    </row>
    <row r="18" spans="1:24" x14ac:dyDescent="0.25">
      <c r="A18" s="8" t="s">
        <v>24</v>
      </c>
      <c r="B18" s="12">
        <f>+B17/12</f>
        <v>0</v>
      </c>
      <c r="D18" s="13"/>
      <c r="F18" s="8" t="s">
        <v>24</v>
      </c>
      <c r="G18" s="12">
        <f>+G17/12</f>
        <v>0</v>
      </c>
      <c r="I18" s="13"/>
      <c r="K18" s="8" t="s">
        <v>24</v>
      </c>
      <c r="L18" s="12">
        <f>+L17/12</f>
        <v>0</v>
      </c>
      <c r="N18" s="13"/>
      <c r="P18" s="8" t="s">
        <v>24</v>
      </c>
      <c r="Q18" s="12">
        <f>+Q17/12</f>
        <v>0</v>
      </c>
      <c r="S18" s="13"/>
      <c r="U18" s="8" t="s">
        <v>24</v>
      </c>
      <c r="V18" s="12">
        <f>+V17/12</f>
        <v>0</v>
      </c>
      <c r="X18" s="13"/>
    </row>
    <row r="19" spans="1:24" x14ac:dyDescent="0.25">
      <c r="A19" s="8" t="s">
        <v>25</v>
      </c>
      <c r="B19" s="12">
        <f>100000/12</f>
        <v>8333.3333333333339</v>
      </c>
      <c r="D19" s="13"/>
      <c r="F19" s="8" t="s">
        <v>25</v>
      </c>
      <c r="G19" s="12">
        <f>100000/12</f>
        <v>8333.3333333333339</v>
      </c>
      <c r="I19" s="13"/>
      <c r="K19" s="8" t="s">
        <v>25</v>
      </c>
      <c r="L19" s="12">
        <f>100000/12</f>
        <v>8333.3333333333339</v>
      </c>
      <c r="N19" s="13"/>
      <c r="P19" s="8" t="s">
        <v>25</v>
      </c>
      <c r="Q19" s="12">
        <f>100000/12</f>
        <v>8333.3333333333339</v>
      </c>
      <c r="S19" s="13"/>
      <c r="U19" s="8" t="s">
        <v>25</v>
      </c>
      <c r="V19" s="12">
        <f>100000/12</f>
        <v>8333.3333333333339</v>
      </c>
      <c r="X19" s="13"/>
    </row>
    <row r="20" spans="1:24" x14ac:dyDescent="0.25">
      <c r="A20" s="8" t="s">
        <v>26</v>
      </c>
      <c r="B20" s="12">
        <f>+B18-B19</f>
        <v>-8333.3333333333339</v>
      </c>
      <c r="D20" s="13"/>
      <c r="F20" s="8" t="s">
        <v>26</v>
      </c>
      <c r="G20" s="12">
        <f>+G18-G19</f>
        <v>-8333.3333333333339</v>
      </c>
      <c r="I20" s="13"/>
      <c r="K20" s="8" t="s">
        <v>26</v>
      </c>
      <c r="L20" s="12">
        <f>+L18-L19</f>
        <v>-8333.3333333333339</v>
      </c>
      <c r="N20" s="13"/>
      <c r="P20" s="8" t="s">
        <v>26</v>
      </c>
      <c r="Q20" s="12">
        <f>+Q18-Q19</f>
        <v>-8333.3333333333339</v>
      </c>
      <c r="S20" s="13"/>
      <c r="U20" s="8" t="s">
        <v>26</v>
      </c>
      <c r="V20" s="12">
        <f>+V18-V19</f>
        <v>-8333.3333333333339</v>
      </c>
      <c r="X20" s="13"/>
    </row>
    <row r="21" spans="1:24" x14ac:dyDescent="0.25">
      <c r="A21" s="8" t="s">
        <v>21</v>
      </c>
      <c r="B21" s="14">
        <f>+B16</f>
        <v>0</v>
      </c>
      <c r="D21" s="13"/>
      <c r="F21" s="8" t="s">
        <v>21</v>
      </c>
      <c r="G21" s="14">
        <f>+G16</f>
        <v>0</v>
      </c>
      <c r="I21" s="13"/>
      <c r="K21" s="8" t="s">
        <v>21</v>
      </c>
      <c r="L21" s="14">
        <f>+L16</f>
        <v>0</v>
      </c>
      <c r="N21" s="13"/>
      <c r="P21" s="8" t="s">
        <v>21</v>
      </c>
      <c r="Q21" s="14">
        <f>+Q16</f>
        <v>0</v>
      </c>
      <c r="S21" s="13"/>
      <c r="U21" s="8" t="s">
        <v>21</v>
      </c>
      <c r="V21" s="14">
        <f>+V16</f>
        <v>0</v>
      </c>
      <c r="X21" s="13"/>
    </row>
    <row r="22" spans="1:24" x14ac:dyDescent="0.25">
      <c r="A22" s="15" t="s">
        <v>27</v>
      </c>
      <c r="B22" s="16">
        <f>+B20*B21</f>
        <v>0</v>
      </c>
      <c r="C22" s="17"/>
      <c r="D22" s="18">
        <f>IF(+D15-100000=-100000,0,D15-100000)</f>
        <v>0</v>
      </c>
      <c r="F22" s="15" t="s">
        <v>27</v>
      </c>
      <c r="G22" s="16">
        <f>+G20*G21</f>
        <v>0</v>
      </c>
      <c r="H22" s="17"/>
      <c r="I22" s="18">
        <f>IF(+I15-100000=-100000,0,I15-100000)</f>
        <v>0</v>
      </c>
      <c r="K22" s="15" t="s">
        <v>27</v>
      </c>
      <c r="L22" s="16">
        <f>+L20*L21</f>
        <v>0</v>
      </c>
      <c r="M22" s="17"/>
      <c r="N22" s="18">
        <f>IF(+N15-100000=-100000,0,N15-100000)</f>
        <v>0</v>
      </c>
      <c r="P22" s="15" t="s">
        <v>27</v>
      </c>
      <c r="Q22" s="16">
        <f>+Q20*Q21</f>
        <v>0</v>
      </c>
      <c r="R22" s="17"/>
      <c r="S22" s="18">
        <f>IF(+S15-100000=-100000,0,S15-100000)</f>
        <v>0</v>
      </c>
      <c r="U22" s="15" t="s">
        <v>27</v>
      </c>
      <c r="V22" s="16">
        <f>+V20*V21</f>
        <v>0</v>
      </c>
      <c r="W22" s="17"/>
      <c r="X22" s="18">
        <f>IF(+X15-100000=-100000,0,X15-100000)</f>
        <v>0</v>
      </c>
    </row>
    <row r="23" spans="1:24" x14ac:dyDescent="0.25">
      <c r="A23" s="1" t="s">
        <v>12</v>
      </c>
      <c r="B23" s="2"/>
      <c r="C23" s="3"/>
      <c r="D23" s="4"/>
      <c r="F23" s="1" t="s">
        <v>12</v>
      </c>
      <c r="G23" s="2"/>
      <c r="H23" s="3"/>
      <c r="I23" s="4"/>
      <c r="K23" s="1" t="s">
        <v>12</v>
      </c>
      <c r="L23" s="2"/>
      <c r="M23" s="3"/>
      <c r="N23" s="4"/>
      <c r="P23" s="1" t="s">
        <v>12</v>
      </c>
      <c r="Q23" s="2"/>
      <c r="R23" s="3"/>
      <c r="S23" s="4"/>
      <c r="U23" s="1" t="s">
        <v>12</v>
      </c>
      <c r="V23" s="2"/>
      <c r="W23" s="3"/>
      <c r="X23" s="4"/>
    </row>
    <row r="24" spans="1:24" x14ac:dyDescent="0.25">
      <c r="A24" s="5"/>
      <c r="B24" s="6" t="s">
        <v>13</v>
      </c>
      <c r="D24" s="7" t="s">
        <v>14</v>
      </c>
      <c r="F24" s="5"/>
      <c r="G24" s="6" t="s">
        <v>13</v>
      </c>
      <c r="I24" s="7" t="s">
        <v>14</v>
      </c>
      <c r="K24" s="5"/>
      <c r="L24" s="6" t="s">
        <v>13</v>
      </c>
      <c r="N24" s="7" t="s">
        <v>14</v>
      </c>
      <c r="P24" s="5"/>
      <c r="Q24" s="6" t="s">
        <v>13</v>
      </c>
      <c r="S24" s="7" t="s">
        <v>14</v>
      </c>
      <c r="U24" s="5"/>
      <c r="V24" s="6" t="s">
        <v>13</v>
      </c>
      <c r="X24" s="7" t="s">
        <v>14</v>
      </c>
    </row>
    <row r="25" spans="1:24" x14ac:dyDescent="0.25">
      <c r="A25" s="8" t="s">
        <v>20</v>
      </c>
      <c r="B25" s="9"/>
      <c r="D25" s="9"/>
      <c r="F25" s="8" t="s">
        <v>20</v>
      </c>
      <c r="G25" s="9"/>
      <c r="I25" s="9"/>
      <c r="K25" s="8" t="s">
        <v>20</v>
      </c>
      <c r="L25" s="9"/>
      <c r="N25" s="9"/>
      <c r="P25" s="8" t="s">
        <v>20</v>
      </c>
      <c r="Q25" s="9"/>
      <c r="S25" s="9"/>
      <c r="U25" s="8" t="s">
        <v>20</v>
      </c>
      <c r="V25" s="9"/>
      <c r="X25" s="9"/>
    </row>
    <row r="26" spans="1:24" x14ac:dyDescent="0.25">
      <c r="A26" s="8" t="s">
        <v>21</v>
      </c>
      <c r="B26" s="10"/>
      <c r="D26" s="11">
        <v>12</v>
      </c>
      <c r="F26" s="8" t="s">
        <v>21</v>
      </c>
      <c r="G26" s="10"/>
      <c r="I26" s="11">
        <v>12</v>
      </c>
      <c r="K26" s="8" t="s">
        <v>21</v>
      </c>
      <c r="L26" s="10"/>
      <c r="N26" s="11">
        <v>12</v>
      </c>
      <c r="P26" s="8" t="s">
        <v>21</v>
      </c>
      <c r="Q26" s="10"/>
      <c r="S26" s="11">
        <v>12</v>
      </c>
      <c r="U26" s="8" t="s">
        <v>21</v>
      </c>
      <c r="V26" s="10"/>
      <c r="X26" s="11">
        <v>12</v>
      </c>
    </row>
    <row r="27" spans="1:24" x14ac:dyDescent="0.25">
      <c r="A27" s="8" t="s">
        <v>23</v>
      </c>
      <c r="B27" s="12">
        <f>IFERROR((B25/B26)*12,0)</f>
        <v>0</v>
      </c>
      <c r="D27" s="13"/>
      <c r="F27" s="8" t="s">
        <v>23</v>
      </c>
      <c r="G27" s="12">
        <f>IFERROR((G25/G26)*12,0)</f>
        <v>0</v>
      </c>
      <c r="I27" s="13"/>
      <c r="K27" s="8" t="s">
        <v>23</v>
      </c>
      <c r="L27" s="12">
        <f>IFERROR((L25/L26)*12,0)</f>
        <v>0</v>
      </c>
      <c r="N27" s="13"/>
      <c r="P27" s="8" t="s">
        <v>23</v>
      </c>
      <c r="Q27" s="12">
        <f>IFERROR((Q25/Q26)*12,0)</f>
        <v>0</v>
      </c>
      <c r="S27" s="13"/>
      <c r="U27" s="8" t="s">
        <v>23</v>
      </c>
      <c r="V27" s="12">
        <f>IFERROR((V25/V26)*12,0)</f>
        <v>0</v>
      </c>
      <c r="X27" s="13"/>
    </row>
    <row r="28" spans="1:24" x14ac:dyDescent="0.25">
      <c r="A28" s="8" t="s">
        <v>24</v>
      </c>
      <c r="B28" s="12">
        <f>+B27/12</f>
        <v>0</v>
      </c>
      <c r="D28" s="13"/>
      <c r="F28" s="8" t="s">
        <v>24</v>
      </c>
      <c r="G28" s="12">
        <f>+G27/12</f>
        <v>0</v>
      </c>
      <c r="I28" s="13"/>
      <c r="K28" s="8" t="s">
        <v>24</v>
      </c>
      <c r="L28" s="12">
        <f>+L27/12</f>
        <v>0</v>
      </c>
      <c r="N28" s="13"/>
      <c r="P28" s="8" t="s">
        <v>24</v>
      </c>
      <c r="Q28" s="12">
        <f>+Q27/12</f>
        <v>0</v>
      </c>
      <c r="S28" s="13"/>
      <c r="U28" s="8" t="s">
        <v>24</v>
      </c>
      <c r="V28" s="12">
        <f>+V27/12</f>
        <v>0</v>
      </c>
      <c r="X28" s="13"/>
    </row>
    <row r="29" spans="1:24" x14ac:dyDescent="0.25">
      <c r="A29" s="8" t="s">
        <v>25</v>
      </c>
      <c r="B29" s="12">
        <f>100000/12</f>
        <v>8333.3333333333339</v>
      </c>
      <c r="D29" s="13"/>
      <c r="F29" s="8" t="s">
        <v>25</v>
      </c>
      <c r="G29" s="12">
        <f>100000/12</f>
        <v>8333.3333333333339</v>
      </c>
      <c r="I29" s="13"/>
      <c r="K29" s="8" t="s">
        <v>25</v>
      </c>
      <c r="L29" s="12">
        <f>100000/12</f>
        <v>8333.3333333333339</v>
      </c>
      <c r="N29" s="13"/>
      <c r="P29" s="8" t="s">
        <v>25</v>
      </c>
      <c r="Q29" s="12">
        <f>100000/12</f>
        <v>8333.3333333333339</v>
      </c>
      <c r="S29" s="13"/>
      <c r="U29" s="8" t="s">
        <v>25</v>
      </c>
      <c r="V29" s="12">
        <f>100000/12</f>
        <v>8333.3333333333339</v>
      </c>
      <c r="X29" s="13"/>
    </row>
    <row r="30" spans="1:24" x14ac:dyDescent="0.25">
      <c r="A30" s="8" t="s">
        <v>26</v>
      </c>
      <c r="B30" s="12">
        <f>+B28-B29</f>
        <v>-8333.3333333333339</v>
      </c>
      <c r="D30" s="13"/>
      <c r="F30" s="8" t="s">
        <v>26</v>
      </c>
      <c r="G30" s="12">
        <f>+G28-G29</f>
        <v>-8333.3333333333339</v>
      </c>
      <c r="I30" s="13"/>
      <c r="K30" s="8" t="s">
        <v>26</v>
      </c>
      <c r="L30" s="12">
        <f>+L28-L29</f>
        <v>-8333.3333333333339</v>
      </c>
      <c r="N30" s="13"/>
      <c r="P30" s="8" t="s">
        <v>26</v>
      </c>
      <c r="Q30" s="12">
        <f>+Q28-Q29</f>
        <v>-8333.3333333333339</v>
      </c>
      <c r="S30" s="13"/>
      <c r="U30" s="8" t="s">
        <v>26</v>
      </c>
      <c r="V30" s="12">
        <f>+V28-V29</f>
        <v>-8333.3333333333339</v>
      </c>
      <c r="X30" s="13"/>
    </row>
    <row r="31" spans="1:24" x14ac:dyDescent="0.25">
      <c r="A31" s="8" t="s">
        <v>21</v>
      </c>
      <c r="B31" s="14">
        <f>+B26</f>
        <v>0</v>
      </c>
      <c r="D31" s="13"/>
      <c r="F31" s="8" t="s">
        <v>21</v>
      </c>
      <c r="G31" s="14">
        <f>+G26</f>
        <v>0</v>
      </c>
      <c r="I31" s="13"/>
      <c r="K31" s="8" t="s">
        <v>21</v>
      </c>
      <c r="L31" s="14">
        <f>+L26</f>
        <v>0</v>
      </c>
      <c r="N31" s="13"/>
      <c r="P31" s="8" t="s">
        <v>21</v>
      </c>
      <c r="Q31" s="14">
        <f>+Q26</f>
        <v>0</v>
      </c>
      <c r="S31" s="13"/>
      <c r="U31" s="8" t="s">
        <v>21</v>
      </c>
      <c r="V31" s="14">
        <f>+V26</f>
        <v>0</v>
      </c>
      <c r="X31" s="13"/>
    </row>
    <row r="32" spans="1:24" x14ac:dyDescent="0.25">
      <c r="A32" s="15" t="s">
        <v>27</v>
      </c>
      <c r="B32" s="16">
        <f>+B30*B31</f>
        <v>0</v>
      </c>
      <c r="C32" s="17"/>
      <c r="D32" s="18">
        <f>IF(+D25-100000=-100000,0,D25-100000)</f>
        <v>0</v>
      </c>
      <c r="F32" s="15" t="s">
        <v>27</v>
      </c>
      <c r="G32" s="16">
        <f>+G30*G31</f>
        <v>0</v>
      </c>
      <c r="H32" s="17"/>
      <c r="I32" s="18">
        <f>IF(+I25-100000=-100000,0,I25-100000)</f>
        <v>0</v>
      </c>
      <c r="K32" s="15" t="s">
        <v>27</v>
      </c>
      <c r="L32" s="16">
        <f>+L30*L31</f>
        <v>0</v>
      </c>
      <c r="M32" s="17"/>
      <c r="N32" s="18">
        <f>IF(+N25-100000=-100000,0,N25-100000)</f>
        <v>0</v>
      </c>
      <c r="P32" s="15" t="s">
        <v>27</v>
      </c>
      <c r="Q32" s="16">
        <f>+Q30*Q31</f>
        <v>0</v>
      </c>
      <c r="R32" s="17"/>
      <c r="S32" s="18">
        <f>IF(+S25-100000=-100000,0,S25-100000)</f>
        <v>0</v>
      </c>
      <c r="U32" s="15" t="s">
        <v>27</v>
      </c>
      <c r="V32" s="16">
        <f>+V30*V31</f>
        <v>0</v>
      </c>
      <c r="W32" s="17"/>
      <c r="X32" s="18">
        <f>IF(+X25-100000=-100000,0,X25-100000)</f>
        <v>0</v>
      </c>
    </row>
    <row r="33" spans="1:24" x14ac:dyDescent="0.25">
      <c r="A33" s="1" t="s">
        <v>12</v>
      </c>
      <c r="B33" s="2"/>
      <c r="C33" s="3"/>
      <c r="D33" s="4"/>
      <c r="F33" s="1" t="s">
        <v>12</v>
      </c>
      <c r="G33" s="2"/>
      <c r="H33" s="3"/>
      <c r="I33" s="4"/>
      <c r="K33" s="1" t="s">
        <v>12</v>
      </c>
      <c r="L33" s="2"/>
      <c r="M33" s="3"/>
      <c r="N33" s="4"/>
      <c r="P33" s="1" t="s">
        <v>12</v>
      </c>
      <c r="Q33" s="2"/>
      <c r="R33" s="3"/>
      <c r="S33" s="4"/>
      <c r="U33" s="1" t="s">
        <v>12</v>
      </c>
      <c r="V33" s="2"/>
      <c r="W33" s="3"/>
      <c r="X33" s="4"/>
    </row>
    <row r="34" spans="1:24" x14ac:dyDescent="0.25">
      <c r="A34" s="5"/>
      <c r="B34" s="6" t="s">
        <v>13</v>
      </c>
      <c r="D34" s="7" t="s">
        <v>14</v>
      </c>
      <c r="F34" s="5"/>
      <c r="G34" s="6" t="s">
        <v>13</v>
      </c>
      <c r="I34" s="7" t="s">
        <v>14</v>
      </c>
      <c r="K34" s="5"/>
      <c r="L34" s="6" t="s">
        <v>13</v>
      </c>
      <c r="N34" s="7" t="s">
        <v>14</v>
      </c>
      <c r="P34" s="5"/>
      <c r="Q34" s="6" t="s">
        <v>13</v>
      </c>
      <c r="S34" s="7" t="s">
        <v>14</v>
      </c>
      <c r="U34" s="5"/>
      <c r="V34" s="6" t="s">
        <v>13</v>
      </c>
      <c r="X34" s="7" t="s">
        <v>14</v>
      </c>
    </row>
    <row r="35" spans="1:24" x14ac:dyDescent="0.25">
      <c r="A35" s="8" t="s">
        <v>20</v>
      </c>
      <c r="B35" s="9"/>
      <c r="D35" s="9"/>
      <c r="F35" s="8" t="s">
        <v>20</v>
      </c>
      <c r="G35" s="9"/>
      <c r="I35" s="9"/>
      <c r="K35" s="8" t="s">
        <v>20</v>
      </c>
      <c r="L35" s="9"/>
      <c r="N35" s="9"/>
      <c r="P35" s="8" t="s">
        <v>20</v>
      </c>
      <c r="Q35" s="9"/>
      <c r="S35" s="9"/>
      <c r="U35" s="8" t="s">
        <v>20</v>
      </c>
      <c r="V35" s="9"/>
      <c r="X35" s="9"/>
    </row>
    <row r="36" spans="1:24" x14ac:dyDescent="0.25">
      <c r="A36" s="8" t="s">
        <v>21</v>
      </c>
      <c r="B36" s="10"/>
      <c r="D36" s="11">
        <v>12</v>
      </c>
      <c r="F36" s="8" t="s">
        <v>21</v>
      </c>
      <c r="G36" s="10"/>
      <c r="I36" s="11">
        <v>12</v>
      </c>
      <c r="K36" s="8" t="s">
        <v>21</v>
      </c>
      <c r="L36" s="10"/>
      <c r="N36" s="11">
        <v>12</v>
      </c>
      <c r="P36" s="8" t="s">
        <v>21</v>
      </c>
      <c r="Q36" s="10"/>
      <c r="S36" s="11">
        <v>12</v>
      </c>
      <c r="U36" s="8" t="s">
        <v>21</v>
      </c>
      <c r="V36" s="10"/>
      <c r="X36" s="11">
        <v>12</v>
      </c>
    </row>
    <row r="37" spans="1:24" x14ac:dyDescent="0.25">
      <c r="A37" s="8" t="s">
        <v>23</v>
      </c>
      <c r="B37" s="12">
        <f>IFERROR((B35/B36)*12,0)</f>
        <v>0</v>
      </c>
      <c r="D37" s="13"/>
      <c r="F37" s="8" t="s">
        <v>23</v>
      </c>
      <c r="G37" s="12">
        <f>IFERROR((G35/G36)*12,0)</f>
        <v>0</v>
      </c>
      <c r="I37" s="13"/>
      <c r="K37" s="8" t="s">
        <v>23</v>
      </c>
      <c r="L37" s="12">
        <f>IFERROR((L35/L36)*12,0)</f>
        <v>0</v>
      </c>
      <c r="N37" s="13"/>
      <c r="P37" s="8" t="s">
        <v>23</v>
      </c>
      <c r="Q37" s="12">
        <f>IFERROR((Q35/Q36)*12,0)</f>
        <v>0</v>
      </c>
      <c r="S37" s="13"/>
      <c r="U37" s="8" t="s">
        <v>23</v>
      </c>
      <c r="V37" s="12">
        <f>IFERROR((V35/V36)*12,0)</f>
        <v>0</v>
      </c>
      <c r="X37" s="13"/>
    </row>
    <row r="38" spans="1:24" x14ac:dyDescent="0.25">
      <c r="A38" s="8" t="s">
        <v>24</v>
      </c>
      <c r="B38" s="12">
        <f>+B37/12</f>
        <v>0</v>
      </c>
      <c r="D38" s="13"/>
      <c r="F38" s="8" t="s">
        <v>24</v>
      </c>
      <c r="G38" s="12">
        <f>+G37/12</f>
        <v>0</v>
      </c>
      <c r="I38" s="13"/>
      <c r="K38" s="8" t="s">
        <v>24</v>
      </c>
      <c r="L38" s="12">
        <f>+L37/12</f>
        <v>0</v>
      </c>
      <c r="N38" s="13"/>
      <c r="P38" s="8" t="s">
        <v>24</v>
      </c>
      <c r="Q38" s="12">
        <f>+Q37/12</f>
        <v>0</v>
      </c>
      <c r="S38" s="13"/>
      <c r="U38" s="8" t="s">
        <v>24</v>
      </c>
      <c r="V38" s="12">
        <f>+V37/12</f>
        <v>0</v>
      </c>
      <c r="X38" s="13"/>
    </row>
    <row r="39" spans="1:24" x14ac:dyDescent="0.25">
      <c r="A39" s="8" t="s">
        <v>25</v>
      </c>
      <c r="B39" s="12">
        <f>100000/12</f>
        <v>8333.3333333333339</v>
      </c>
      <c r="D39" s="13"/>
      <c r="F39" s="8" t="s">
        <v>25</v>
      </c>
      <c r="G39" s="12">
        <f>100000/12</f>
        <v>8333.3333333333339</v>
      </c>
      <c r="I39" s="13"/>
      <c r="K39" s="8" t="s">
        <v>25</v>
      </c>
      <c r="L39" s="12">
        <f>100000/12</f>
        <v>8333.3333333333339</v>
      </c>
      <c r="N39" s="13"/>
      <c r="P39" s="8" t="s">
        <v>25</v>
      </c>
      <c r="Q39" s="12">
        <f>100000/12</f>
        <v>8333.3333333333339</v>
      </c>
      <c r="S39" s="13"/>
      <c r="U39" s="8" t="s">
        <v>25</v>
      </c>
      <c r="V39" s="12">
        <f>100000/12</f>
        <v>8333.3333333333339</v>
      </c>
      <c r="X39" s="13"/>
    </row>
    <row r="40" spans="1:24" x14ac:dyDescent="0.25">
      <c r="A40" s="8" t="s">
        <v>26</v>
      </c>
      <c r="B40" s="12">
        <f>+B38-B39</f>
        <v>-8333.3333333333339</v>
      </c>
      <c r="D40" s="13"/>
      <c r="F40" s="8" t="s">
        <v>26</v>
      </c>
      <c r="G40" s="12">
        <f>+G38-G39</f>
        <v>-8333.3333333333339</v>
      </c>
      <c r="I40" s="13"/>
      <c r="K40" s="8" t="s">
        <v>26</v>
      </c>
      <c r="L40" s="12">
        <f>+L38-L39</f>
        <v>-8333.3333333333339</v>
      </c>
      <c r="N40" s="13"/>
      <c r="P40" s="8" t="s">
        <v>26</v>
      </c>
      <c r="Q40" s="12">
        <f>+Q38-Q39</f>
        <v>-8333.3333333333339</v>
      </c>
      <c r="S40" s="13"/>
      <c r="U40" s="8" t="s">
        <v>26</v>
      </c>
      <c r="V40" s="12">
        <f>+V38-V39</f>
        <v>-8333.3333333333339</v>
      </c>
      <c r="X40" s="13"/>
    </row>
    <row r="41" spans="1:24" x14ac:dyDescent="0.25">
      <c r="A41" s="8" t="s">
        <v>21</v>
      </c>
      <c r="B41" s="14">
        <f>+B36</f>
        <v>0</v>
      </c>
      <c r="D41" s="13"/>
      <c r="F41" s="8" t="s">
        <v>21</v>
      </c>
      <c r="G41" s="14">
        <f>+G36</f>
        <v>0</v>
      </c>
      <c r="I41" s="13"/>
      <c r="K41" s="8" t="s">
        <v>21</v>
      </c>
      <c r="L41" s="14">
        <f>+L36</f>
        <v>0</v>
      </c>
      <c r="N41" s="13"/>
      <c r="P41" s="8" t="s">
        <v>21</v>
      </c>
      <c r="Q41" s="14">
        <f>+Q36</f>
        <v>0</v>
      </c>
      <c r="S41" s="13"/>
      <c r="U41" s="8" t="s">
        <v>21</v>
      </c>
      <c r="V41" s="14">
        <f>+V36</f>
        <v>0</v>
      </c>
      <c r="X41" s="13"/>
    </row>
    <row r="42" spans="1:24" x14ac:dyDescent="0.25">
      <c r="A42" s="15" t="s">
        <v>27</v>
      </c>
      <c r="B42" s="16">
        <f>+B40*B41</f>
        <v>0</v>
      </c>
      <c r="C42" s="17"/>
      <c r="D42" s="18">
        <f>IF(+D35-100000=-100000,0,D35-100000)</f>
        <v>0</v>
      </c>
      <c r="F42" s="15" t="s">
        <v>27</v>
      </c>
      <c r="G42" s="16">
        <f>+G40*G41</f>
        <v>0</v>
      </c>
      <c r="H42" s="17"/>
      <c r="I42" s="18">
        <f>IF(+I35-100000=-100000,0,I35-100000)</f>
        <v>0</v>
      </c>
      <c r="K42" s="15" t="s">
        <v>27</v>
      </c>
      <c r="L42" s="16">
        <f>+L40*L41</f>
        <v>0</v>
      </c>
      <c r="M42" s="17"/>
      <c r="N42" s="18">
        <f>IF(+N35-100000=-100000,0,N35-100000)</f>
        <v>0</v>
      </c>
      <c r="P42" s="15" t="s">
        <v>27</v>
      </c>
      <c r="Q42" s="16">
        <f>+Q40*Q41</f>
        <v>0</v>
      </c>
      <c r="R42" s="17"/>
      <c r="S42" s="18">
        <f>IF(+S35-100000=-100000,0,S35-100000)</f>
        <v>0</v>
      </c>
      <c r="U42" s="15" t="s">
        <v>27</v>
      </c>
      <c r="V42" s="16">
        <f>+V40*V41</f>
        <v>0</v>
      </c>
      <c r="W42" s="17"/>
      <c r="X42" s="18">
        <f>IF(+X35-100000=-100000,0,X35-100000)</f>
        <v>0</v>
      </c>
    </row>
    <row r="43" spans="1:24" x14ac:dyDescent="0.25">
      <c r="A43" s="1" t="s">
        <v>12</v>
      </c>
      <c r="B43" s="2"/>
      <c r="C43" s="3"/>
      <c r="D43" s="4"/>
      <c r="F43" s="1" t="s">
        <v>12</v>
      </c>
      <c r="G43" s="2"/>
      <c r="H43" s="3"/>
      <c r="I43" s="4"/>
      <c r="K43" s="1" t="s">
        <v>12</v>
      </c>
      <c r="L43" s="2"/>
      <c r="M43" s="3"/>
      <c r="N43" s="4"/>
      <c r="P43" s="1" t="s">
        <v>12</v>
      </c>
      <c r="Q43" s="2"/>
      <c r="R43" s="3"/>
      <c r="S43" s="4"/>
      <c r="U43" s="1" t="s">
        <v>12</v>
      </c>
      <c r="V43" s="2"/>
      <c r="W43" s="3"/>
      <c r="X43" s="4"/>
    </row>
    <row r="44" spans="1:24" x14ac:dyDescent="0.25">
      <c r="A44" s="5"/>
      <c r="B44" s="6" t="s">
        <v>13</v>
      </c>
      <c r="D44" s="7" t="s">
        <v>14</v>
      </c>
      <c r="F44" s="5"/>
      <c r="G44" s="6" t="s">
        <v>13</v>
      </c>
      <c r="I44" s="7" t="s">
        <v>14</v>
      </c>
      <c r="K44" s="5"/>
      <c r="L44" s="6" t="s">
        <v>13</v>
      </c>
      <c r="N44" s="7" t="s">
        <v>14</v>
      </c>
      <c r="P44" s="5"/>
      <c r="Q44" s="6" t="s">
        <v>13</v>
      </c>
      <c r="S44" s="7" t="s">
        <v>14</v>
      </c>
      <c r="U44" s="5"/>
      <c r="V44" s="6" t="s">
        <v>13</v>
      </c>
      <c r="X44" s="7" t="s">
        <v>14</v>
      </c>
    </row>
    <row r="45" spans="1:24" x14ac:dyDescent="0.25">
      <c r="A45" s="8" t="s">
        <v>20</v>
      </c>
      <c r="B45" s="9"/>
      <c r="D45" s="9"/>
      <c r="F45" s="8" t="s">
        <v>20</v>
      </c>
      <c r="G45" s="9"/>
      <c r="I45" s="9"/>
      <c r="K45" s="8" t="s">
        <v>20</v>
      </c>
      <c r="L45" s="9"/>
      <c r="N45" s="9"/>
      <c r="P45" s="8" t="s">
        <v>20</v>
      </c>
      <c r="Q45" s="9"/>
      <c r="S45" s="9"/>
      <c r="U45" s="8" t="s">
        <v>20</v>
      </c>
      <c r="V45" s="9"/>
      <c r="X45" s="9"/>
    </row>
    <row r="46" spans="1:24" x14ac:dyDescent="0.25">
      <c r="A46" s="8" t="s">
        <v>21</v>
      </c>
      <c r="B46" s="10"/>
      <c r="D46" s="11">
        <v>12</v>
      </c>
      <c r="F46" s="8" t="s">
        <v>21</v>
      </c>
      <c r="G46" s="10"/>
      <c r="I46" s="11">
        <v>12</v>
      </c>
      <c r="K46" s="8" t="s">
        <v>21</v>
      </c>
      <c r="L46" s="10"/>
      <c r="N46" s="11">
        <v>12</v>
      </c>
      <c r="P46" s="8" t="s">
        <v>21</v>
      </c>
      <c r="Q46" s="10"/>
      <c r="S46" s="11">
        <v>12</v>
      </c>
      <c r="U46" s="8" t="s">
        <v>21</v>
      </c>
      <c r="V46" s="10"/>
      <c r="X46" s="11">
        <v>12</v>
      </c>
    </row>
    <row r="47" spans="1:24" x14ac:dyDescent="0.25">
      <c r="A47" s="8" t="s">
        <v>23</v>
      </c>
      <c r="B47" s="12">
        <f>IFERROR((B45/B46)*12,0)</f>
        <v>0</v>
      </c>
      <c r="D47" s="13"/>
      <c r="F47" s="8" t="s">
        <v>23</v>
      </c>
      <c r="G47" s="12">
        <f>IFERROR((G45/G46)*12,0)</f>
        <v>0</v>
      </c>
      <c r="I47" s="13"/>
      <c r="K47" s="8" t="s">
        <v>23</v>
      </c>
      <c r="L47" s="12">
        <f>IFERROR((L45/L46)*12,0)</f>
        <v>0</v>
      </c>
      <c r="N47" s="13"/>
      <c r="P47" s="8" t="s">
        <v>23</v>
      </c>
      <c r="Q47" s="12">
        <f>IFERROR((Q45/Q46)*12,0)</f>
        <v>0</v>
      </c>
      <c r="S47" s="13"/>
      <c r="U47" s="8" t="s">
        <v>23</v>
      </c>
      <c r="V47" s="12">
        <f>IFERROR((V45/V46)*12,0)</f>
        <v>0</v>
      </c>
      <c r="X47" s="13"/>
    </row>
    <row r="48" spans="1:24" x14ac:dyDescent="0.25">
      <c r="A48" s="8" t="s">
        <v>24</v>
      </c>
      <c r="B48" s="12">
        <f>+B47/12</f>
        <v>0</v>
      </c>
      <c r="D48" s="13"/>
      <c r="F48" s="8" t="s">
        <v>24</v>
      </c>
      <c r="G48" s="12">
        <f>+G47/12</f>
        <v>0</v>
      </c>
      <c r="I48" s="13"/>
      <c r="K48" s="8" t="s">
        <v>24</v>
      </c>
      <c r="L48" s="12">
        <f>+L47/12</f>
        <v>0</v>
      </c>
      <c r="N48" s="13"/>
      <c r="P48" s="8" t="s">
        <v>24</v>
      </c>
      <c r="Q48" s="12">
        <f>+Q47/12</f>
        <v>0</v>
      </c>
      <c r="S48" s="13"/>
      <c r="U48" s="8" t="s">
        <v>24</v>
      </c>
      <c r="V48" s="12">
        <f>+V47/12</f>
        <v>0</v>
      </c>
      <c r="X48" s="13"/>
    </row>
    <row r="49" spans="1:24" x14ac:dyDescent="0.25">
      <c r="A49" s="8" t="s">
        <v>25</v>
      </c>
      <c r="B49" s="12">
        <f>100000/12</f>
        <v>8333.3333333333339</v>
      </c>
      <c r="D49" s="13"/>
      <c r="F49" s="8" t="s">
        <v>25</v>
      </c>
      <c r="G49" s="12">
        <f>100000/12</f>
        <v>8333.3333333333339</v>
      </c>
      <c r="I49" s="13"/>
      <c r="K49" s="8" t="s">
        <v>25</v>
      </c>
      <c r="L49" s="12">
        <f>100000/12</f>
        <v>8333.3333333333339</v>
      </c>
      <c r="N49" s="13"/>
      <c r="P49" s="8" t="s">
        <v>25</v>
      </c>
      <c r="Q49" s="12">
        <f>100000/12</f>
        <v>8333.3333333333339</v>
      </c>
      <c r="S49" s="13"/>
      <c r="U49" s="8" t="s">
        <v>25</v>
      </c>
      <c r="V49" s="12">
        <f>100000/12</f>
        <v>8333.3333333333339</v>
      </c>
      <c r="X49" s="13"/>
    </row>
    <row r="50" spans="1:24" x14ac:dyDescent="0.25">
      <c r="A50" s="8" t="s">
        <v>26</v>
      </c>
      <c r="B50" s="12">
        <f>+B48-B49</f>
        <v>-8333.3333333333339</v>
      </c>
      <c r="D50" s="13"/>
      <c r="F50" s="8" t="s">
        <v>26</v>
      </c>
      <c r="G50" s="12">
        <f>+G48-G49</f>
        <v>-8333.3333333333339</v>
      </c>
      <c r="I50" s="13"/>
      <c r="K50" s="8" t="s">
        <v>26</v>
      </c>
      <c r="L50" s="12">
        <f>+L48-L49</f>
        <v>-8333.3333333333339</v>
      </c>
      <c r="N50" s="13"/>
      <c r="P50" s="8" t="s">
        <v>26</v>
      </c>
      <c r="Q50" s="12">
        <f>+Q48-Q49</f>
        <v>-8333.3333333333339</v>
      </c>
      <c r="S50" s="13"/>
      <c r="U50" s="8" t="s">
        <v>26</v>
      </c>
      <c r="V50" s="12">
        <f>+V48-V49</f>
        <v>-8333.3333333333339</v>
      </c>
      <c r="X50" s="13"/>
    </row>
    <row r="51" spans="1:24" x14ac:dyDescent="0.25">
      <c r="A51" s="8" t="s">
        <v>21</v>
      </c>
      <c r="B51" s="14">
        <f>+B46</f>
        <v>0</v>
      </c>
      <c r="D51" s="13"/>
      <c r="F51" s="8" t="s">
        <v>21</v>
      </c>
      <c r="G51" s="14">
        <f>+G46</f>
        <v>0</v>
      </c>
      <c r="I51" s="13"/>
      <c r="K51" s="8" t="s">
        <v>21</v>
      </c>
      <c r="L51" s="14">
        <f>+L46</f>
        <v>0</v>
      </c>
      <c r="N51" s="13"/>
      <c r="P51" s="8" t="s">
        <v>21</v>
      </c>
      <c r="Q51" s="14">
        <f>+Q46</f>
        <v>0</v>
      </c>
      <c r="S51" s="13"/>
      <c r="U51" s="8" t="s">
        <v>21</v>
      </c>
      <c r="V51" s="14">
        <f>+V46</f>
        <v>0</v>
      </c>
      <c r="X51" s="13"/>
    </row>
    <row r="52" spans="1:24" x14ac:dyDescent="0.25">
      <c r="A52" s="15" t="s">
        <v>27</v>
      </c>
      <c r="B52" s="16">
        <f>+B50*B51</f>
        <v>0</v>
      </c>
      <c r="C52" s="17"/>
      <c r="D52" s="18">
        <f>IF(+D45-100000=-100000,0,D45-100000)</f>
        <v>0</v>
      </c>
      <c r="F52" s="15" t="s">
        <v>27</v>
      </c>
      <c r="G52" s="16">
        <f>+G50*G51</f>
        <v>0</v>
      </c>
      <c r="H52" s="17"/>
      <c r="I52" s="18">
        <f>IF(+I45-100000=-100000,0,I45-100000)</f>
        <v>0</v>
      </c>
      <c r="K52" s="15" t="s">
        <v>27</v>
      </c>
      <c r="L52" s="16">
        <f>+L50*L51</f>
        <v>0</v>
      </c>
      <c r="M52" s="17"/>
      <c r="N52" s="18">
        <f>IF(+N45-100000=-100000,0,N45-100000)</f>
        <v>0</v>
      </c>
      <c r="P52" s="15" t="s">
        <v>27</v>
      </c>
      <c r="Q52" s="16">
        <f>+Q50*Q51</f>
        <v>0</v>
      </c>
      <c r="R52" s="17"/>
      <c r="S52" s="18">
        <f>IF(+S45-100000=-100000,0,S45-100000)</f>
        <v>0</v>
      </c>
      <c r="U52" s="15" t="s">
        <v>27</v>
      </c>
      <c r="V52" s="16">
        <f>+V50*V51</f>
        <v>0</v>
      </c>
      <c r="W52" s="17"/>
      <c r="X52" s="18">
        <f>IF(+X45-100000=-100000,0,X45-100000)</f>
        <v>0</v>
      </c>
    </row>
    <row r="53" spans="1:24" x14ac:dyDescent="0.25">
      <c r="A53" s="1" t="s">
        <v>12</v>
      </c>
      <c r="B53" s="2"/>
      <c r="C53" s="3"/>
      <c r="D53" s="4"/>
      <c r="F53" s="1" t="s">
        <v>12</v>
      </c>
      <c r="G53" s="2"/>
      <c r="H53" s="3"/>
      <c r="I53" s="4"/>
      <c r="K53" s="1" t="s">
        <v>12</v>
      </c>
      <c r="L53" s="2"/>
      <c r="M53" s="3"/>
      <c r="N53" s="4"/>
      <c r="P53" s="1" t="s">
        <v>12</v>
      </c>
      <c r="Q53" s="2"/>
      <c r="R53" s="3"/>
      <c r="S53" s="4"/>
      <c r="U53" s="1" t="s">
        <v>12</v>
      </c>
      <c r="V53" s="2"/>
      <c r="W53" s="3"/>
      <c r="X53" s="4"/>
    </row>
    <row r="54" spans="1:24" x14ac:dyDescent="0.25">
      <c r="A54" s="5"/>
      <c r="B54" s="6" t="s">
        <v>13</v>
      </c>
      <c r="D54" s="7" t="s">
        <v>14</v>
      </c>
      <c r="F54" s="5"/>
      <c r="G54" s="6" t="s">
        <v>13</v>
      </c>
      <c r="I54" s="7" t="s">
        <v>14</v>
      </c>
      <c r="K54" s="5"/>
      <c r="L54" s="6" t="s">
        <v>13</v>
      </c>
      <c r="N54" s="7" t="s">
        <v>14</v>
      </c>
      <c r="P54" s="5"/>
      <c r="Q54" s="6" t="s">
        <v>13</v>
      </c>
      <c r="S54" s="7" t="s">
        <v>14</v>
      </c>
      <c r="U54" s="5"/>
      <c r="V54" s="6" t="s">
        <v>13</v>
      </c>
      <c r="X54" s="7" t="s">
        <v>14</v>
      </c>
    </row>
    <row r="55" spans="1:24" x14ac:dyDescent="0.25">
      <c r="A55" s="8" t="s">
        <v>20</v>
      </c>
      <c r="B55" s="9"/>
      <c r="D55" s="9"/>
      <c r="F55" s="8" t="s">
        <v>20</v>
      </c>
      <c r="G55" s="9"/>
      <c r="I55" s="9"/>
      <c r="K55" s="8" t="s">
        <v>20</v>
      </c>
      <c r="L55" s="9"/>
      <c r="N55" s="9"/>
      <c r="P55" s="8" t="s">
        <v>20</v>
      </c>
      <c r="Q55" s="9"/>
      <c r="S55" s="9"/>
      <c r="U55" s="8" t="s">
        <v>20</v>
      </c>
      <c r="V55" s="9"/>
      <c r="X55" s="9"/>
    </row>
    <row r="56" spans="1:24" x14ac:dyDescent="0.25">
      <c r="A56" s="8" t="s">
        <v>21</v>
      </c>
      <c r="B56" s="10"/>
      <c r="D56" s="11">
        <v>12</v>
      </c>
      <c r="F56" s="8" t="s">
        <v>21</v>
      </c>
      <c r="G56" s="10"/>
      <c r="I56" s="11">
        <v>12</v>
      </c>
      <c r="K56" s="8" t="s">
        <v>21</v>
      </c>
      <c r="L56" s="10"/>
      <c r="N56" s="11">
        <v>12</v>
      </c>
      <c r="P56" s="8" t="s">
        <v>21</v>
      </c>
      <c r="Q56" s="10"/>
      <c r="S56" s="11">
        <v>12</v>
      </c>
      <c r="U56" s="8" t="s">
        <v>21</v>
      </c>
      <c r="V56" s="10"/>
      <c r="X56" s="11">
        <v>12</v>
      </c>
    </row>
    <row r="57" spans="1:24" x14ac:dyDescent="0.25">
      <c r="A57" s="8" t="s">
        <v>23</v>
      </c>
      <c r="B57" s="12">
        <f>IFERROR((B55/B56)*12,0)</f>
        <v>0</v>
      </c>
      <c r="D57" s="13"/>
      <c r="F57" s="8" t="s">
        <v>23</v>
      </c>
      <c r="G57" s="12">
        <f>IFERROR((G55/G56)*12,0)</f>
        <v>0</v>
      </c>
      <c r="I57" s="13"/>
      <c r="K57" s="8" t="s">
        <v>23</v>
      </c>
      <c r="L57" s="12">
        <f>IFERROR((L55/L56)*12,0)</f>
        <v>0</v>
      </c>
      <c r="N57" s="13"/>
      <c r="P57" s="8" t="s">
        <v>23</v>
      </c>
      <c r="Q57" s="12">
        <f>IFERROR((Q55/Q56)*12,0)</f>
        <v>0</v>
      </c>
      <c r="S57" s="13"/>
      <c r="U57" s="8" t="s">
        <v>23</v>
      </c>
      <c r="V57" s="12">
        <f>IFERROR((V55/V56)*12,0)</f>
        <v>0</v>
      </c>
      <c r="X57" s="13"/>
    </row>
    <row r="58" spans="1:24" x14ac:dyDescent="0.25">
      <c r="A58" s="8" t="s">
        <v>24</v>
      </c>
      <c r="B58" s="12">
        <f>+B57/12</f>
        <v>0</v>
      </c>
      <c r="D58" s="13"/>
      <c r="F58" s="8" t="s">
        <v>24</v>
      </c>
      <c r="G58" s="12">
        <f>+G57/12</f>
        <v>0</v>
      </c>
      <c r="I58" s="13"/>
      <c r="K58" s="8" t="s">
        <v>24</v>
      </c>
      <c r="L58" s="12">
        <f>+L57/12</f>
        <v>0</v>
      </c>
      <c r="N58" s="13"/>
      <c r="P58" s="8" t="s">
        <v>24</v>
      </c>
      <c r="Q58" s="12">
        <f>+Q57/12</f>
        <v>0</v>
      </c>
      <c r="S58" s="13"/>
      <c r="U58" s="8" t="s">
        <v>24</v>
      </c>
      <c r="V58" s="12">
        <f>+V57/12</f>
        <v>0</v>
      </c>
      <c r="X58" s="13"/>
    </row>
    <row r="59" spans="1:24" x14ac:dyDescent="0.25">
      <c r="A59" s="8" t="s">
        <v>25</v>
      </c>
      <c r="B59" s="12">
        <f>100000/12</f>
        <v>8333.3333333333339</v>
      </c>
      <c r="D59" s="13"/>
      <c r="F59" s="8" t="s">
        <v>25</v>
      </c>
      <c r="G59" s="12">
        <f>100000/12</f>
        <v>8333.3333333333339</v>
      </c>
      <c r="I59" s="13"/>
      <c r="K59" s="8" t="s">
        <v>25</v>
      </c>
      <c r="L59" s="12">
        <f>100000/12</f>
        <v>8333.3333333333339</v>
      </c>
      <c r="N59" s="13"/>
      <c r="P59" s="8" t="s">
        <v>25</v>
      </c>
      <c r="Q59" s="12">
        <f>100000/12</f>
        <v>8333.3333333333339</v>
      </c>
      <c r="S59" s="13"/>
      <c r="U59" s="8" t="s">
        <v>25</v>
      </c>
      <c r="V59" s="12">
        <f>100000/12</f>
        <v>8333.3333333333339</v>
      </c>
      <c r="X59" s="13"/>
    </row>
    <row r="60" spans="1:24" x14ac:dyDescent="0.25">
      <c r="A60" s="8" t="s">
        <v>26</v>
      </c>
      <c r="B60" s="12">
        <f>+B58-B59</f>
        <v>-8333.3333333333339</v>
      </c>
      <c r="D60" s="13"/>
      <c r="F60" s="8" t="s">
        <v>26</v>
      </c>
      <c r="G60" s="12">
        <f>+G58-G59</f>
        <v>-8333.3333333333339</v>
      </c>
      <c r="I60" s="13"/>
      <c r="K60" s="8" t="s">
        <v>26</v>
      </c>
      <c r="L60" s="12">
        <f>+L58-L59</f>
        <v>-8333.3333333333339</v>
      </c>
      <c r="N60" s="13"/>
      <c r="P60" s="8" t="s">
        <v>26</v>
      </c>
      <c r="Q60" s="12">
        <f>+Q58-Q59</f>
        <v>-8333.3333333333339</v>
      </c>
      <c r="S60" s="13"/>
      <c r="U60" s="8" t="s">
        <v>26</v>
      </c>
      <c r="V60" s="12">
        <f>+V58-V59</f>
        <v>-8333.3333333333339</v>
      </c>
      <c r="X60" s="13"/>
    </row>
    <row r="61" spans="1:24" x14ac:dyDescent="0.25">
      <c r="A61" s="8" t="s">
        <v>21</v>
      </c>
      <c r="B61" s="14">
        <f>+B56</f>
        <v>0</v>
      </c>
      <c r="D61" s="13"/>
      <c r="F61" s="8" t="s">
        <v>21</v>
      </c>
      <c r="G61" s="14">
        <f>+G56</f>
        <v>0</v>
      </c>
      <c r="I61" s="13"/>
      <c r="K61" s="8" t="s">
        <v>21</v>
      </c>
      <c r="L61" s="14">
        <f>+L56</f>
        <v>0</v>
      </c>
      <c r="N61" s="13"/>
      <c r="P61" s="8" t="s">
        <v>21</v>
      </c>
      <c r="Q61" s="14">
        <f>+Q56</f>
        <v>0</v>
      </c>
      <c r="S61" s="13"/>
      <c r="U61" s="8" t="s">
        <v>21</v>
      </c>
      <c r="V61" s="14">
        <f>+V56</f>
        <v>0</v>
      </c>
      <c r="X61" s="13"/>
    </row>
    <row r="62" spans="1:24" x14ac:dyDescent="0.25">
      <c r="A62" s="15" t="s">
        <v>27</v>
      </c>
      <c r="B62" s="16">
        <f>+B60*B61</f>
        <v>0</v>
      </c>
      <c r="C62" s="17"/>
      <c r="D62" s="18">
        <f>IF(+D55-100000=-100000,0,D55-100000)</f>
        <v>0</v>
      </c>
      <c r="F62" s="15" t="s">
        <v>27</v>
      </c>
      <c r="G62" s="16">
        <f>+G60*G61</f>
        <v>0</v>
      </c>
      <c r="H62" s="17"/>
      <c r="I62" s="18">
        <f>IF(+I55-100000=-100000,0,I55-100000)</f>
        <v>0</v>
      </c>
      <c r="K62" s="15" t="s">
        <v>27</v>
      </c>
      <c r="L62" s="16">
        <f>+L60*L61</f>
        <v>0</v>
      </c>
      <c r="M62" s="17"/>
      <c r="N62" s="18">
        <f>IF(+N55-100000=-100000,0,N55-100000)</f>
        <v>0</v>
      </c>
      <c r="P62" s="15" t="s">
        <v>27</v>
      </c>
      <c r="Q62" s="16">
        <f>+Q60*Q61</f>
        <v>0</v>
      </c>
      <c r="R62" s="17"/>
      <c r="S62" s="18">
        <f>IF(+S55-100000=-100000,0,S55-100000)</f>
        <v>0</v>
      </c>
      <c r="U62" s="15" t="s">
        <v>27</v>
      </c>
      <c r="V62" s="16">
        <f>+V60*V61</f>
        <v>0</v>
      </c>
      <c r="W62" s="17"/>
      <c r="X62" s="18">
        <f>IF(+X55-100000=-100000,0,X55-100000)</f>
        <v>0</v>
      </c>
    </row>
    <row r="63" spans="1:24" x14ac:dyDescent="0.25">
      <c r="A63" s="1" t="s">
        <v>12</v>
      </c>
      <c r="B63" s="2"/>
      <c r="C63" s="3"/>
      <c r="D63" s="4"/>
      <c r="F63" s="1" t="s">
        <v>12</v>
      </c>
      <c r="G63" s="2"/>
      <c r="H63" s="3"/>
      <c r="I63" s="4"/>
      <c r="K63" s="1" t="s">
        <v>12</v>
      </c>
      <c r="L63" s="2"/>
      <c r="M63" s="3"/>
      <c r="N63" s="4"/>
      <c r="P63" s="1" t="s">
        <v>12</v>
      </c>
      <c r="Q63" s="2"/>
      <c r="R63" s="3"/>
      <c r="S63" s="4"/>
      <c r="U63" s="1" t="s">
        <v>12</v>
      </c>
      <c r="V63" s="2"/>
      <c r="W63" s="3"/>
      <c r="X63" s="4"/>
    </row>
    <row r="64" spans="1:24" x14ac:dyDescent="0.25">
      <c r="A64" s="5"/>
      <c r="B64" s="6" t="s">
        <v>13</v>
      </c>
      <c r="D64" s="7" t="s">
        <v>14</v>
      </c>
      <c r="F64" s="5"/>
      <c r="G64" s="6" t="s">
        <v>13</v>
      </c>
      <c r="I64" s="7" t="s">
        <v>14</v>
      </c>
      <c r="K64" s="5"/>
      <c r="L64" s="6" t="s">
        <v>13</v>
      </c>
      <c r="N64" s="7" t="s">
        <v>14</v>
      </c>
      <c r="P64" s="5"/>
      <c r="Q64" s="6" t="s">
        <v>13</v>
      </c>
      <c r="S64" s="7" t="s">
        <v>14</v>
      </c>
      <c r="U64" s="5"/>
      <c r="V64" s="6" t="s">
        <v>13</v>
      </c>
      <c r="X64" s="7" t="s">
        <v>14</v>
      </c>
    </row>
    <row r="65" spans="1:24" x14ac:dyDescent="0.25">
      <c r="A65" s="8" t="s">
        <v>20</v>
      </c>
      <c r="B65" s="9"/>
      <c r="D65" s="9"/>
      <c r="F65" s="8" t="s">
        <v>20</v>
      </c>
      <c r="G65" s="9"/>
      <c r="I65" s="9"/>
      <c r="K65" s="8" t="s">
        <v>20</v>
      </c>
      <c r="L65" s="9"/>
      <c r="N65" s="9"/>
      <c r="P65" s="8" t="s">
        <v>20</v>
      </c>
      <c r="Q65" s="9"/>
      <c r="S65" s="9"/>
      <c r="U65" s="8" t="s">
        <v>20</v>
      </c>
      <c r="V65" s="9"/>
      <c r="X65" s="9"/>
    </row>
    <row r="66" spans="1:24" x14ac:dyDescent="0.25">
      <c r="A66" s="8" t="s">
        <v>21</v>
      </c>
      <c r="B66" s="10"/>
      <c r="D66" s="11">
        <v>12</v>
      </c>
      <c r="F66" s="8" t="s">
        <v>21</v>
      </c>
      <c r="G66" s="10"/>
      <c r="I66" s="11">
        <v>12</v>
      </c>
      <c r="K66" s="8" t="s">
        <v>21</v>
      </c>
      <c r="L66" s="10"/>
      <c r="N66" s="11">
        <v>12</v>
      </c>
      <c r="P66" s="8" t="s">
        <v>21</v>
      </c>
      <c r="Q66" s="10"/>
      <c r="S66" s="11">
        <v>12</v>
      </c>
      <c r="U66" s="8" t="s">
        <v>21</v>
      </c>
      <c r="V66" s="10"/>
      <c r="X66" s="11">
        <v>12</v>
      </c>
    </row>
    <row r="67" spans="1:24" x14ac:dyDescent="0.25">
      <c r="A67" s="8" t="s">
        <v>23</v>
      </c>
      <c r="B67" s="12">
        <f>IFERROR((B65/B66)*12,0)</f>
        <v>0</v>
      </c>
      <c r="D67" s="13"/>
      <c r="F67" s="8" t="s">
        <v>23</v>
      </c>
      <c r="G67" s="12">
        <f>IFERROR((G65/G66)*12,0)</f>
        <v>0</v>
      </c>
      <c r="I67" s="13"/>
      <c r="K67" s="8" t="s">
        <v>23</v>
      </c>
      <c r="L67" s="12">
        <f>IFERROR((L65/L66)*12,0)</f>
        <v>0</v>
      </c>
      <c r="N67" s="13"/>
      <c r="P67" s="8" t="s">
        <v>23</v>
      </c>
      <c r="Q67" s="12">
        <f>IFERROR((Q65/Q66)*12,0)</f>
        <v>0</v>
      </c>
      <c r="S67" s="13"/>
      <c r="U67" s="8" t="s">
        <v>23</v>
      </c>
      <c r="V67" s="12">
        <f>IFERROR((V65/V66)*12,0)</f>
        <v>0</v>
      </c>
      <c r="X67" s="13"/>
    </row>
    <row r="68" spans="1:24" x14ac:dyDescent="0.25">
      <c r="A68" s="8" t="s">
        <v>24</v>
      </c>
      <c r="B68" s="12">
        <f>+B67/12</f>
        <v>0</v>
      </c>
      <c r="D68" s="13"/>
      <c r="F68" s="8" t="s">
        <v>24</v>
      </c>
      <c r="G68" s="12">
        <f>+G67/12</f>
        <v>0</v>
      </c>
      <c r="I68" s="13"/>
      <c r="K68" s="8" t="s">
        <v>24</v>
      </c>
      <c r="L68" s="12">
        <f>+L67/12</f>
        <v>0</v>
      </c>
      <c r="N68" s="13"/>
      <c r="P68" s="8" t="s">
        <v>24</v>
      </c>
      <c r="Q68" s="12">
        <f>+Q67/12</f>
        <v>0</v>
      </c>
      <c r="S68" s="13"/>
      <c r="U68" s="8" t="s">
        <v>24</v>
      </c>
      <c r="V68" s="12">
        <f>+V67/12</f>
        <v>0</v>
      </c>
      <c r="X68" s="13"/>
    </row>
    <row r="69" spans="1:24" x14ac:dyDescent="0.25">
      <c r="A69" s="8" t="s">
        <v>25</v>
      </c>
      <c r="B69" s="12">
        <f>100000/12</f>
        <v>8333.3333333333339</v>
      </c>
      <c r="D69" s="13"/>
      <c r="F69" s="8" t="s">
        <v>25</v>
      </c>
      <c r="G69" s="12">
        <f>100000/12</f>
        <v>8333.3333333333339</v>
      </c>
      <c r="I69" s="13"/>
      <c r="K69" s="8" t="s">
        <v>25</v>
      </c>
      <c r="L69" s="12">
        <f>100000/12</f>
        <v>8333.3333333333339</v>
      </c>
      <c r="N69" s="13"/>
      <c r="P69" s="8" t="s">
        <v>25</v>
      </c>
      <c r="Q69" s="12">
        <f>100000/12</f>
        <v>8333.3333333333339</v>
      </c>
      <c r="S69" s="13"/>
      <c r="U69" s="8" t="s">
        <v>25</v>
      </c>
      <c r="V69" s="12">
        <f>100000/12</f>
        <v>8333.3333333333339</v>
      </c>
      <c r="X69" s="13"/>
    </row>
    <row r="70" spans="1:24" x14ac:dyDescent="0.25">
      <c r="A70" s="8" t="s">
        <v>26</v>
      </c>
      <c r="B70" s="12">
        <f>+B68-B69</f>
        <v>-8333.3333333333339</v>
      </c>
      <c r="D70" s="13"/>
      <c r="F70" s="8" t="s">
        <v>26</v>
      </c>
      <c r="G70" s="12">
        <f>+G68-G69</f>
        <v>-8333.3333333333339</v>
      </c>
      <c r="I70" s="13"/>
      <c r="K70" s="8" t="s">
        <v>26</v>
      </c>
      <c r="L70" s="12">
        <f>+L68-L69</f>
        <v>-8333.3333333333339</v>
      </c>
      <c r="N70" s="13"/>
      <c r="P70" s="8" t="s">
        <v>26</v>
      </c>
      <c r="Q70" s="12">
        <f>+Q68-Q69</f>
        <v>-8333.3333333333339</v>
      </c>
      <c r="S70" s="13"/>
      <c r="U70" s="8" t="s">
        <v>26</v>
      </c>
      <c r="V70" s="12">
        <f>+V68-V69</f>
        <v>-8333.3333333333339</v>
      </c>
      <c r="X70" s="13"/>
    </row>
    <row r="71" spans="1:24" x14ac:dyDescent="0.25">
      <c r="A71" s="8" t="s">
        <v>21</v>
      </c>
      <c r="B71" s="14">
        <f>+B66</f>
        <v>0</v>
      </c>
      <c r="D71" s="13"/>
      <c r="F71" s="8" t="s">
        <v>21</v>
      </c>
      <c r="G71" s="14">
        <f>+G66</f>
        <v>0</v>
      </c>
      <c r="I71" s="13"/>
      <c r="K71" s="8" t="s">
        <v>21</v>
      </c>
      <c r="L71" s="14">
        <f>+L66</f>
        <v>0</v>
      </c>
      <c r="N71" s="13"/>
      <c r="P71" s="8" t="s">
        <v>21</v>
      </c>
      <c r="Q71" s="14">
        <f>+Q66</f>
        <v>0</v>
      </c>
      <c r="S71" s="13"/>
      <c r="U71" s="8" t="s">
        <v>21</v>
      </c>
      <c r="V71" s="14">
        <f>+V66</f>
        <v>0</v>
      </c>
      <c r="X71" s="13"/>
    </row>
    <row r="72" spans="1:24" x14ac:dyDescent="0.25">
      <c r="A72" s="15" t="s">
        <v>27</v>
      </c>
      <c r="B72" s="16">
        <f>+B70*B71</f>
        <v>0</v>
      </c>
      <c r="C72" s="17"/>
      <c r="D72" s="18">
        <f>IF(+D65-100000=-100000,0,D65-100000)</f>
        <v>0</v>
      </c>
      <c r="F72" s="15" t="s">
        <v>27</v>
      </c>
      <c r="G72" s="16">
        <f>+G70*G71</f>
        <v>0</v>
      </c>
      <c r="H72" s="17"/>
      <c r="I72" s="18">
        <f>IF(+I65-100000=-100000,0,I65-100000)</f>
        <v>0</v>
      </c>
      <c r="K72" s="15" t="s">
        <v>27</v>
      </c>
      <c r="L72" s="16">
        <f>+L70*L71</f>
        <v>0</v>
      </c>
      <c r="M72" s="17"/>
      <c r="N72" s="18">
        <f>IF(+N65-100000=-100000,0,N65-100000)</f>
        <v>0</v>
      </c>
      <c r="P72" s="15" t="s">
        <v>27</v>
      </c>
      <c r="Q72" s="16">
        <f>+Q70*Q71</f>
        <v>0</v>
      </c>
      <c r="R72" s="17"/>
      <c r="S72" s="18">
        <f>IF(+S65-100000=-100000,0,S65-100000)</f>
        <v>0</v>
      </c>
      <c r="U72" s="15" t="s">
        <v>27</v>
      </c>
      <c r="V72" s="16">
        <f>+V70*V71</f>
        <v>0</v>
      </c>
      <c r="W72" s="17"/>
      <c r="X72" s="18">
        <f>IF(+X65-100000=-100000,0,X65-100000)</f>
        <v>0</v>
      </c>
    </row>
    <row r="73" spans="1:24" x14ac:dyDescent="0.25">
      <c r="A73" s="1" t="s">
        <v>12</v>
      </c>
      <c r="B73" s="2"/>
      <c r="C73" s="3"/>
      <c r="D73" s="4"/>
      <c r="F73" s="1" t="s">
        <v>12</v>
      </c>
      <c r="G73" s="2"/>
      <c r="H73" s="3"/>
      <c r="I73" s="4"/>
      <c r="K73" s="1" t="s">
        <v>12</v>
      </c>
      <c r="L73" s="2"/>
      <c r="M73" s="3"/>
      <c r="N73" s="4"/>
      <c r="P73" s="1" t="s">
        <v>12</v>
      </c>
      <c r="Q73" s="2"/>
      <c r="R73" s="3"/>
      <c r="S73" s="4"/>
      <c r="U73" s="1" t="s">
        <v>12</v>
      </c>
      <c r="V73" s="2"/>
      <c r="W73" s="3"/>
      <c r="X73" s="4"/>
    </row>
    <row r="74" spans="1:24" x14ac:dyDescent="0.25">
      <c r="A74" s="5"/>
      <c r="B74" s="6" t="s">
        <v>13</v>
      </c>
      <c r="D74" s="7" t="s">
        <v>14</v>
      </c>
      <c r="F74" s="5"/>
      <c r="G74" s="6" t="s">
        <v>13</v>
      </c>
      <c r="I74" s="7" t="s">
        <v>14</v>
      </c>
      <c r="K74" s="5"/>
      <c r="L74" s="6" t="s">
        <v>13</v>
      </c>
      <c r="N74" s="7" t="s">
        <v>14</v>
      </c>
      <c r="P74" s="5"/>
      <c r="Q74" s="6" t="s">
        <v>13</v>
      </c>
      <c r="S74" s="7" t="s">
        <v>14</v>
      </c>
      <c r="U74" s="5"/>
      <c r="V74" s="6" t="s">
        <v>13</v>
      </c>
      <c r="X74" s="7" t="s">
        <v>14</v>
      </c>
    </row>
    <row r="75" spans="1:24" x14ac:dyDescent="0.25">
      <c r="A75" s="8" t="s">
        <v>20</v>
      </c>
      <c r="B75" s="9"/>
      <c r="D75" s="9"/>
      <c r="F75" s="8" t="s">
        <v>20</v>
      </c>
      <c r="G75" s="9"/>
      <c r="I75" s="9"/>
      <c r="K75" s="8" t="s">
        <v>20</v>
      </c>
      <c r="L75" s="9"/>
      <c r="N75" s="9"/>
      <c r="P75" s="8" t="s">
        <v>20</v>
      </c>
      <c r="Q75" s="9"/>
      <c r="S75" s="9"/>
      <c r="U75" s="8" t="s">
        <v>20</v>
      </c>
      <c r="V75" s="9"/>
      <c r="X75" s="9"/>
    </row>
    <row r="76" spans="1:24" x14ac:dyDescent="0.25">
      <c r="A76" s="8" t="s">
        <v>21</v>
      </c>
      <c r="B76" s="10"/>
      <c r="D76" s="11">
        <v>12</v>
      </c>
      <c r="F76" s="8" t="s">
        <v>21</v>
      </c>
      <c r="G76" s="10"/>
      <c r="I76" s="11">
        <v>12</v>
      </c>
      <c r="K76" s="8" t="s">
        <v>21</v>
      </c>
      <c r="L76" s="10"/>
      <c r="N76" s="11">
        <v>12</v>
      </c>
      <c r="P76" s="8" t="s">
        <v>21</v>
      </c>
      <c r="Q76" s="10"/>
      <c r="S76" s="11">
        <v>12</v>
      </c>
      <c r="U76" s="8" t="s">
        <v>21</v>
      </c>
      <c r="V76" s="10"/>
      <c r="X76" s="11">
        <v>12</v>
      </c>
    </row>
    <row r="77" spans="1:24" x14ac:dyDescent="0.25">
      <c r="A77" s="8" t="s">
        <v>23</v>
      </c>
      <c r="B77" s="12">
        <f>IFERROR((B75/B76)*12,0)</f>
        <v>0</v>
      </c>
      <c r="D77" s="13"/>
      <c r="F77" s="8" t="s">
        <v>23</v>
      </c>
      <c r="G77" s="12">
        <f>IFERROR((G75/G76)*12,0)</f>
        <v>0</v>
      </c>
      <c r="I77" s="13"/>
      <c r="K77" s="8" t="s">
        <v>23</v>
      </c>
      <c r="L77" s="12">
        <f>IFERROR((L75/L76)*12,0)</f>
        <v>0</v>
      </c>
      <c r="N77" s="13"/>
      <c r="P77" s="8" t="s">
        <v>23</v>
      </c>
      <c r="Q77" s="12">
        <f>IFERROR((Q75/Q76)*12,0)</f>
        <v>0</v>
      </c>
      <c r="S77" s="13"/>
      <c r="U77" s="8" t="s">
        <v>23</v>
      </c>
      <c r="V77" s="12">
        <f>IFERROR((V75/V76)*12,0)</f>
        <v>0</v>
      </c>
      <c r="X77" s="13"/>
    </row>
    <row r="78" spans="1:24" x14ac:dyDescent="0.25">
      <c r="A78" s="8" t="s">
        <v>24</v>
      </c>
      <c r="B78" s="12">
        <f>+B77/12</f>
        <v>0</v>
      </c>
      <c r="D78" s="13"/>
      <c r="F78" s="8" t="s">
        <v>24</v>
      </c>
      <c r="G78" s="12">
        <f>+G77/12</f>
        <v>0</v>
      </c>
      <c r="I78" s="13"/>
      <c r="K78" s="8" t="s">
        <v>24</v>
      </c>
      <c r="L78" s="12">
        <f>+L77/12</f>
        <v>0</v>
      </c>
      <c r="N78" s="13"/>
      <c r="P78" s="8" t="s">
        <v>24</v>
      </c>
      <c r="Q78" s="12">
        <f>+Q77/12</f>
        <v>0</v>
      </c>
      <c r="S78" s="13"/>
      <c r="U78" s="8" t="s">
        <v>24</v>
      </c>
      <c r="V78" s="12">
        <f>+V77/12</f>
        <v>0</v>
      </c>
      <c r="X78" s="13"/>
    </row>
    <row r="79" spans="1:24" x14ac:dyDescent="0.25">
      <c r="A79" s="8" t="s">
        <v>25</v>
      </c>
      <c r="B79" s="12">
        <f>100000/12</f>
        <v>8333.3333333333339</v>
      </c>
      <c r="D79" s="13"/>
      <c r="F79" s="8" t="s">
        <v>25</v>
      </c>
      <c r="G79" s="12">
        <f>100000/12</f>
        <v>8333.3333333333339</v>
      </c>
      <c r="I79" s="13"/>
      <c r="K79" s="8" t="s">
        <v>25</v>
      </c>
      <c r="L79" s="12">
        <f>100000/12</f>
        <v>8333.3333333333339</v>
      </c>
      <c r="N79" s="13"/>
      <c r="P79" s="8" t="s">
        <v>25</v>
      </c>
      <c r="Q79" s="12">
        <f>100000/12</f>
        <v>8333.3333333333339</v>
      </c>
      <c r="S79" s="13"/>
      <c r="U79" s="8" t="s">
        <v>25</v>
      </c>
      <c r="V79" s="12">
        <f>100000/12</f>
        <v>8333.3333333333339</v>
      </c>
      <c r="X79" s="13"/>
    </row>
    <row r="80" spans="1:24" x14ac:dyDescent="0.25">
      <c r="A80" s="8" t="s">
        <v>26</v>
      </c>
      <c r="B80" s="12">
        <f>+B78-B79</f>
        <v>-8333.3333333333339</v>
      </c>
      <c r="D80" s="13"/>
      <c r="F80" s="8" t="s">
        <v>26</v>
      </c>
      <c r="G80" s="12">
        <f>+G78-G79</f>
        <v>-8333.3333333333339</v>
      </c>
      <c r="I80" s="13"/>
      <c r="K80" s="8" t="s">
        <v>26</v>
      </c>
      <c r="L80" s="12">
        <f>+L78-L79</f>
        <v>-8333.3333333333339</v>
      </c>
      <c r="N80" s="13"/>
      <c r="P80" s="8" t="s">
        <v>26</v>
      </c>
      <c r="Q80" s="12">
        <f>+Q78-Q79</f>
        <v>-8333.3333333333339</v>
      </c>
      <c r="S80" s="13"/>
      <c r="U80" s="8" t="s">
        <v>26</v>
      </c>
      <c r="V80" s="12">
        <f>+V78-V79</f>
        <v>-8333.3333333333339</v>
      </c>
      <c r="X80" s="13"/>
    </row>
    <row r="81" spans="1:24" x14ac:dyDescent="0.25">
      <c r="A81" s="8" t="s">
        <v>21</v>
      </c>
      <c r="B81" s="14">
        <f>+B76</f>
        <v>0</v>
      </c>
      <c r="D81" s="13"/>
      <c r="F81" s="8" t="s">
        <v>21</v>
      </c>
      <c r="G81" s="14">
        <f>+G76</f>
        <v>0</v>
      </c>
      <c r="I81" s="13"/>
      <c r="K81" s="8" t="s">
        <v>21</v>
      </c>
      <c r="L81" s="14">
        <f>+L76</f>
        <v>0</v>
      </c>
      <c r="N81" s="13"/>
      <c r="P81" s="8" t="s">
        <v>21</v>
      </c>
      <c r="Q81" s="14">
        <f>+Q76</f>
        <v>0</v>
      </c>
      <c r="S81" s="13"/>
      <c r="U81" s="8" t="s">
        <v>21</v>
      </c>
      <c r="V81" s="14">
        <f>+V76</f>
        <v>0</v>
      </c>
      <c r="X81" s="13"/>
    </row>
    <row r="82" spans="1:24" x14ac:dyDescent="0.25">
      <c r="A82" s="15" t="s">
        <v>27</v>
      </c>
      <c r="B82" s="16">
        <f>+B80*B81</f>
        <v>0</v>
      </c>
      <c r="C82" s="17"/>
      <c r="D82" s="18">
        <f>IF(+D75-100000=-100000,0,D75-100000)</f>
        <v>0</v>
      </c>
      <c r="F82" s="15" t="s">
        <v>27</v>
      </c>
      <c r="G82" s="16">
        <f>+G80*G81</f>
        <v>0</v>
      </c>
      <c r="H82" s="17"/>
      <c r="I82" s="18">
        <f>IF(+I75-100000=-100000,0,I75-100000)</f>
        <v>0</v>
      </c>
      <c r="K82" s="15" t="s">
        <v>27</v>
      </c>
      <c r="L82" s="16">
        <f>+L80*L81</f>
        <v>0</v>
      </c>
      <c r="M82" s="17"/>
      <c r="N82" s="18">
        <f>IF(+N75-100000=-100000,0,N75-100000)</f>
        <v>0</v>
      </c>
      <c r="P82" s="15" t="s">
        <v>27</v>
      </c>
      <c r="Q82" s="16">
        <f>+Q80*Q81</f>
        <v>0</v>
      </c>
      <c r="R82" s="17"/>
      <c r="S82" s="18">
        <f>IF(+S75-100000=-100000,0,S75-100000)</f>
        <v>0</v>
      </c>
      <c r="U82" s="15" t="s">
        <v>27</v>
      </c>
      <c r="V82" s="16">
        <f>+V80*V81</f>
        <v>0</v>
      </c>
      <c r="W82" s="17"/>
      <c r="X82" s="18">
        <f>IF(+X75-100000=-100000,0,X75-100000)</f>
        <v>0</v>
      </c>
    </row>
    <row r="83" spans="1:24" x14ac:dyDescent="0.25">
      <c r="A83" s="1" t="s">
        <v>12</v>
      </c>
      <c r="B83" s="2"/>
      <c r="C83" s="3"/>
      <c r="D83" s="4"/>
      <c r="F83" s="1" t="s">
        <v>12</v>
      </c>
      <c r="G83" s="2"/>
      <c r="H83" s="3"/>
      <c r="I83" s="4"/>
      <c r="K83" s="1" t="s">
        <v>12</v>
      </c>
      <c r="L83" s="2"/>
      <c r="M83" s="3"/>
      <c r="N83" s="4"/>
      <c r="P83" s="1" t="s">
        <v>12</v>
      </c>
      <c r="Q83" s="2"/>
      <c r="R83" s="3"/>
      <c r="S83" s="4"/>
      <c r="U83" s="1" t="s">
        <v>12</v>
      </c>
      <c r="V83" s="2"/>
      <c r="W83" s="3"/>
      <c r="X83" s="4"/>
    </row>
    <row r="84" spans="1:24" x14ac:dyDescent="0.25">
      <c r="A84" s="5"/>
      <c r="B84" s="6" t="s">
        <v>13</v>
      </c>
      <c r="D84" s="7" t="s">
        <v>14</v>
      </c>
      <c r="F84" s="5"/>
      <c r="G84" s="6" t="s">
        <v>13</v>
      </c>
      <c r="I84" s="7" t="s">
        <v>14</v>
      </c>
      <c r="K84" s="5"/>
      <c r="L84" s="6" t="s">
        <v>13</v>
      </c>
      <c r="N84" s="7" t="s">
        <v>14</v>
      </c>
      <c r="P84" s="5"/>
      <c r="Q84" s="6" t="s">
        <v>13</v>
      </c>
      <c r="S84" s="7" t="s">
        <v>14</v>
      </c>
      <c r="U84" s="5"/>
      <c r="V84" s="6" t="s">
        <v>13</v>
      </c>
      <c r="X84" s="7" t="s">
        <v>14</v>
      </c>
    </row>
    <row r="85" spans="1:24" x14ac:dyDescent="0.25">
      <c r="A85" s="8" t="s">
        <v>20</v>
      </c>
      <c r="B85" s="9"/>
      <c r="D85" s="9"/>
      <c r="F85" s="8" t="s">
        <v>20</v>
      </c>
      <c r="G85" s="9"/>
      <c r="I85" s="9"/>
      <c r="K85" s="8" t="s">
        <v>20</v>
      </c>
      <c r="L85" s="9"/>
      <c r="N85" s="9"/>
      <c r="P85" s="8" t="s">
        <v>20</v>
      </c>
      <c r="Q85" s="9"/>
      <c r="S85" s="9"/>
      <c r="U85" s="8" t="s">
        <v>20</v>
      </c>
      <c r="V85" s="9"/>
      <c r="X85" s="9"/>
    </row>
    <row r="86" spans="1:24" x14ac:dyDescent="0.25">
      <c r="A86" s="8" t="s">
        <v>21</v>
      </c>
      <c r="B86" s="10"/>
      <c r="D86" s="11">
        <v>12</v>
      </c>
      <c r="F86" s="8" t="s">
        <v>21</v>
      </c>
      <c r="G86" s="10"/>
      <c r="I86" s="11">
        <v>12</v>
      </c>
      <c r="K86" s="8" t="s">
        <v>21</v>
      </c>
      <c r="L86" s="10"/>
      <c r="N86" s="11">
        <v>12</v>
      </c>
      <c r="P86" s="8" t="s">
        <v>21</v>
      </c>
      <c r="Q86" s="10"/>
      <c r="S86" s="11">
        <v>12</v>
      </c>
      <c r="U86" s="8" t="s">
        <v>21</v>
      </c>
      <c r="V86" s="10"/>
      <c r="X86" s="11">
        <v>12</v>
      </c>
    </row>
    <row r="87" spans="1:24" x14ac:dyDescent="0.25">
      <c r="A87" s="8" t="s">
        <v>23</v>
      </c>
      <c r="B87" s="12">
        <f>IFERROR((B85/B86)*12,0)</f>
        <v>0</v>
      </c>
      <c r="D87" s="13"/>
      <c r="F87" s="8" t="s">
        <v>23</v>
      </c>
      <c r="G87" s="12">
        <f>IFERROR((G85/G86)*12,0)</f>
        <v>0</v>
      </c>
      <c r="I87" s="13"/>
      <c r="K87" s="8" t="s">
        <v>23</v>
      </c>
      <c r="L87" s="12">
        <f>IFERROR((L85/L86)*12,0)</f>
        <v>0</v>
      </c>
      <c r="N87" s="13"/>
      <c r="P87" s="8" t="s">
        <v>23</v>
      </c>
      <c r="Q87" s="12">
        <f>IFERROR((Q85/Q86)*12,0)</f>
        <v>0</v>
      </c>
      <c r="S87" s="13"/>
      <c r="U87" s="8" t="s">
        <v>23</v>
      </c>
      <c r="V87" s="12">
        <f>IFERROR((V85/V86)*12,0)</f>
        <v>0</v>
      </c>
      <c r="X87" s="13"/>
    </row>
    <row r="88" spans="1:24" x14ac:dyDescent="0.25">
      <c r="A88" s="8" t="s">
        <v>24</v>
      </c>
      <c r="B88" s="12">
        <f>+B87/12</f>
        <v>0</v>
      </c>
      <c r="D88" s="13"/>
      <c r="F88" s="8" t="s">
        <v>24</v>
      </c>
      <c r="G88" s="12">
        <f>+G87/12</f>
        <v>0</v>
      </c>
      <c r="I88" s="13"/>
      <c r="K88" s="8" t="s">
        <v>24</v>
      </c>
      <c r="L88" s="12">
        <f>+L87/12</f>
        <v>0</v>
      </c>
      <c r="N88" s="13"/>
      <c r="P88" s="8" t="s">
        <v>24</v>
      </c>
      <c r="Q88" s="12">
        <f>+Q87/12</f>
        <v>0</v>
      </c>
      <c r="S88" s="13"/>
      <c r="U88" s="8" t="s">
        <v>24</v>
      </c>
      <c r="V88" s="12">
        <f>+V87/12</f>
        <v>0</v>
      </c>
      <c r="X88" s="13"/>
    </row>
    <row r="89" spans="1:24" x14ac:dyDescent="0.25">
      <c r="A89" s="8" t="s">
        <v>25</v>
      </c>
      <c r="B89" s="12">
        <f>100000/12</f>
        <v>8333.3333333333339</v>
      </c>
      <c r="D89" s="13"/>
      <c r="F89" s="8" t="s">
        <v>25</v>
      </c>
      <c r="G89" s="12">
        <f>100000/12</f>
        <v>8333.3333333333339</v>
      </c>
      <c r="I89" s="13"/>
      <c r="K89" s="8" t="s">
        <v>25</v>
      </c>
      <c r="L89" s="12">
        <f>100000/12</f>
        <v>8333.3333333333339</v>
      </c>
      <c r="N89" s="13"/>
      <c r="P89" s="8" t="s">
        <v>25</v>
      </c>
      <c r="Q89" s="12">
        <f>100000/12</f>
        <v>8333.3333333333339</v>
      </c>
      <c r="S89" s="13"/>
      <c r="U89" s="8" t="s">
        <v>25</v>
      </c>
      <c r="V89" s="12">
        <f>100000/12</f>
        <v>8333.3333333333339</v>
      </c>
      <c r="X89" s="13"/>
    </row>
    <row r="90" spans="1:24" x14ac:dyDescent="0.25">
      <c r="A90" s="8" t="s">
        <v>26</v>
      </c>
      <c r="B90" s="12">
        <f>+B88-B89</f>
        <v>-8333.3333333333339</v>
      </c>
      <c r="D90" s="13"/>
      <c r="F90" s="8" t="s">
        <v>26</v>
      </c>
      <c r="G90" s="12">
        <f>+G88-G89</f>
        <v>-8333.3333333333339</v>
      </c>
      <c r="I90" s="13"/>
      <c r="K90" s="8" t="s">
        <v>26</v>
      </c>
      <c r="L90" s="12">
        <f>+L88-L89</f>
        <v>-8333.3333333333339</v>
      </c>
      <c r="N90" s="13"/>
      <c r="P90" s="8" t="s">
        <v>26</v>
      </c>
      <c r="Q90" s="12">
        <f>+Q88-Q89</f>
        <v>-8333.3333333333339</v>
      </c>
      <c r="S90" s="13"/>
      <c r="U90" s="8" t="s">
        <v>26</v>
      </c>
      <c r="V90" s="12">
        <f>+V88-V89</f>
        <v>-8333.3333333333339</v>
      </c>
      <c r="X90" s="13"/>
    </row>
    <row r="91" spans="1:24" x14ac:dyDescent="0.25">
      <c r="A91" s="8" t="s">
        <v>21</v>
      </c>
      <c r="B91" s="14">
        <f>+B86</f>
        <v>0</v>
      </c>
      <c r="D91" s="13"/>
      <c r="F91" s="8" t="s">
        <v>21</v>
      </c>
      <c r="G91" s="14">
        <f>+G86</f>
        <v>0</v>
      </c>
      <c r="I91" s="13"/>
      <c r="K91" s="8" t="s">
        <v>21</v>
      </c>
      <c r="L91" s="14">
        <f>+L86</f>
        <v>0</v>
      </c>
      <c r="N91" s="13"/>
      <c r="P91" s="8" t="s">
        <v>21</v>
      </c>
      <c r="Q91" s="14">
        <f>+Q86</f>
        <v>0</v>
      </c>
      <c r="S91" s="13"/>
      <c r="U91" s="8" t="s">
        <v>21</v>
      </c>
      <c r="V91" s="14">
        <f>+V86</f>
        <v>0</v>
      </c>
      <c r="X91" s="13"/>
    </row>
    <row r="92" spans="1:24" x14ac:dyDescent="0.25">
      <c r="A92" s="15" t="s">
        <v>27</v>
      </c>
      <c r="B92" s="16">
        <f>+B90*B91</f>
        <v>0</v>
      </c>
      <c r="C92" s="17"/>
      <c r="D92" s="18">
        <f>IF(+D85-100000=-100000,0,D85-100000)</f>
        <v>0</v>
      </c>
      <c r="F92" s="15" t="s">
        <v>27</v>
      </c>
      <c r="G92" s="16">
        <f>+G90*G91</f>
        <v>0</v>
      </c>
      <c r="H92" s="17"/>
      <c r="I92" s="18">
        <f>IF(+I85-100000=-100000,0,I85-100000)</f>
        <v>0</v>
      </c>
      <c r="K92" s="15" t="s">
        <v>27</v>
      </c>
      <c r="L92" s="16">
        <f>+L90*L91</f>
        <v>0</v>
      </c>
      <c r="M92" s="17"/>
      <c r="N92" s="18">
        <f>IF(+N85-100000=-100000,0,N85-100000)</f>
        <v>0</v>
      </c>
      <c r="P92" s="15" t="s">
        <v>27</v>
      </c>
      <c r="Q92" s="16">
        <f>+Q90*Q91</f>
        <v>0</v>
      </c>
      <c r="R92" s="17"/>
      <c r="S92" s="18">
        <f>IF(+S85-100000=-100000,0,S85-100000)</f>
        <v>0</v>
      </c>
      <c r="U92" s="15" t="s">
        <v>27</v>
      </c>
      <c r="V92" s="16">
        <f>+V90*V91</f>
        <v>0</v>
      </c>
      <c r="W92" s="17"/>
      <c r="X92" s="18">
        <f>IF(+X85-100000=-100000,0,X85-100000)</f>
        <v>0</v>
      </c>
    </row>
    <row r="93" spans="1:24" x14ac:dyDescent="0.25">
      <c r="A93" s="1" t="s">
        <v>12</v>
      </c>
      <c r="B93" s="2"/>
      <c r="C93" s="3"/>
      <c r="D93" s="4"/>
      <c r="F93" s="1" t="s">
        <v>12</v>
      </c>
      <c r="G93" s="2"/>
      <c r="H93" s="3"/>
      <c r="I93" s="4"/>
      <c r="K93" s="1" t="s">
        <v>12</v>
      </c>
      <c r="L93" s="2"/>
      <c r="M93" s="3"/>
      <c r="N93" s="4"/>
      <c r="P93" s="1" t="s">
        <v>12</v>
      </c>
      <c r="Q93" s="2"/>
      <c r="R93" s="3"/>
      <c r="S93" s="4"/>
      <c r="U93" s="1" t="s">
        <v>12</v>
      </c>
      <c r="V93" s="2"/>
      <c r="W93" s="3"/>
      <c r="X93" s="4"/>
    </row>
    <row r="94" spans="1:24" x14ac:dyDescent="0.25">
      <c r="A94" s="5"/>
      <c r="B94" s="6" t="s">
        <v>13</v>
      </c>
      <c r="D94" s="7" t="s">
        <v>14</v>
      </c>
      <c r="F94" s="5"/>
      <c r="G94" s="6" t="s">
        <v>13</v>
      </c>
      <c r="I94" s="7" t="s">
        <v>14</v>
      </c>
      <c r="K94" s="5"/>
      <c r="L94" s="6" t="s">
        <v>13</v>
      </c>
      <c r="N94" s="7" t="s">
        <v>14</v>
      </c>
      <c r="P94" s="5"/>
      <c r="Q94" s="6" t="s">
        <v>13</v>
      </c>
      <c r="S94" s="7" t="s">
        <v>14</v>
      </c>
      <c r="U94" s="5"/>
      <c r="V94" s="6" t="s">
        <v>13</v>
      </c>
      <c r="X94" s="7" t="s">
        <v>14</v>
      </c>
    </row>
    <row r="95" spans="1:24" x14ac:dyDescent="0.25">
      <c r="A95" s="8" t="s">
        <v>20</v>
      </c>
      <c r="B95" s="9"/>
      <c r="D95" s="9"/>
      <c r="F95" s="8" t="s">
        <v>20</v>
      </c>
      <c r="G95" s="9"/>
      <c r="I95" s="9"/>
      <c r="K95" s="8" t="s">
        <v>20</v>
      </c>
      <c r="L95" s="9"/>
      <c r="N95" s="9"/>
      <c r="P95" s="8" t="s">
        <v>20</v>
      </c>
      <c r="Q95" s="9"/>
      <c r="S95" s="9"/>
      <c r="U95" s="8" t="s">
        <v>20</v>
      </c>
      <c r="V95" s="9"/>
      <c r="X95" s="9"/>
    </row>
    <row r="96" spans="1:24" x14ac:dyDescent="0.25">
      <c r="A96" s="8" t="s">
        <v>21</v>
      </c>
      <c r="B96" s="10"/>
      <c r="D96" s="11">
        <v>12</v>
      </c>
      <c r="F96" s="8" t="s">
        <v>21</v>
      </c>
      <c r="G96" s="10"/>
      <c r="I96" s="11">
        <v>12</v>
      </c>
      <c r="K96" s="8" t="s">
        <v>21</v>
      </c>
      <c r="L96" s="10"/>
      <c r="N96" s="11">
        <v>12</v>
      </c>
      <c r="P96" s="8" t="s">
        <v>21</v>
      </c>
      <c r="Q96" s="10"/>
      <c r="S96" s="11">
        <v>12</v>
      </c>
      <c r="U96" s="8" t="s">
        <v>21</v>
      </c>
      <c r="V96" s="10"/>
      <c r="X96" s="11">
        <v>12</v>
      </c>
    </row>
    <row r="97" spans="1:27" x14ac:dyDescent="0.25">
      <c r="A97" s="8" t="s">
        <v>23</v>
      </c>
      <c r="B97" s="12">
        <f>IFERROR((B95/B96)*12,0)</f>
        <v>0</v>
      </c>
      <c r="D97" s="13"/>
      <c r="F97" s="8" t="s">
        <v>23</v>
      </c>
      <c r="G97" s="12">
        <f>IFERROR((G95/G96)*12,0)</f>
        <v>0</v>
      </c>
      <c r="I97" s="13"/>
      <c r="K97" s="8" t="s">
        <v>23</v>
      </c>
      <c r="L97" s="12">
        <f>IFERROR((L95/L96)*12,0)</f>
        <v>0</v>
      </c>
      <c r="N97" s="13"/>
      <c r="P97" s="8" t="s">
        <v>23</v>
      </c>
      <c r="Q97" s="12">
        <f>IFERROR((Q95/Q96)*12,0)</f>
        <v>0</v>
      </c>
      <c r="S97" s="13"/>
      <c r="U97" s="8" t="s">
        <v>23</v>
      </c>
      <c r="V97" s="12">
        <f>IFERROR((V95/V96)*12,0)</f>
        <v>0</v>
      </c>
      <c r="X97" s="13"/>
    </row>
    <row r="98" spans="1:27" x14ac:dyDescent="0.25">
      <c r="A98" s="8" t="s">
        <v>24</v>
      </c>
      <c r="B98" s="12">
        <f>+B97/12</f>
        <v>0</v>
      </c>
      <c r="D98" s="13"/>
      <c r="F98" s="8" t="s">
        <v>24</v>
      </c>
      <c r="G98" s="12">
        <f>+G97/12</f>
        <v>0</v>
      </c>
      <c r="I98" s="13"/>
      <c r="K98" s="8" t="s">
        <v>24</v>
      </c>
      <c r="L98" s="12">
        <f>+L97/12</f>
        <v>0</v>
      </c>
      <c r="N98" s="13"/>
      <c r="P98" s="8" t="s">
        <v>24</v>
      </c>
      <c r="Q98" s="12">
        <f>+Q97/12</f>
        <v>0</v>
      </c>
      <c r="S98" s="13"/>
      <c r="U98" s="8" t="s">
        <v>24</v>
      </c>
      <c r="V98" s="12">
        <f>+V97/12</f>
        <v>0</v>
      </c>
      <c r="X98" s="13"/>
    </row>
    <row r="99" spans="1:27" x14ac:dyDescent="0.25">
      <c r="A99" s="8" t="s">
        <v>25</v>
      </c>
      <c r="B99" s="12">
        <f>100000/12</f>
        <v>8333.3333333333339</v>
      </c>
      <c r="D99" s="13"/>
      <c r="F99" s="8" t="s">
        <v>25</v>
      </c>
      <c r="G99" s="12">
        <f>100000/12</f>
        <v>8333.3333333333339</v>
      </c>
      <c r="I99" s="13"/>
      <c r="K99" s="8" t="s">
        <v>25</v>
      </c>
      <c r="L99" s="12">
        <f>100000/12</f>
        <v>8333.3333333333339</v>
      </c>
      <c r="N99" s="13"/>
      <c r="P99" s="8" t="s">
        <v>25</v>
      </c>
      <c r="Q99" s="12">
        <f>100000/12</f>
        <v>8333.3333333333339</v>
      </c>
      <c r="S99" s="13"/>
      <c r="U99" s="8" t="s">
        <v>25</v>
      </c>
      <c r="V99" s="12">
        <f>100000/12</f>
        <v>8333.3333333333339</v>
      </c>
      <c r="X99" s="13"/>
    </row>
    <row r="100" spans="1:27" x14ac:dyDescent="0.25">
      <c r="A100" s="8" t="s">
        <v>26</v>
      </c>
      <c r="B100" s="12">
        <f>+B98-B99</f>
        <v>-8333.3333333333339</v>
      </c>
      <c r="D100" s="13"/>
      <c r="F100" s="8" t="s">
        <v>26</v>
      </c>
      <c r="G100" s="12">
        <f>+G98-G99</f>
        <v>-8333.3333333333339</v>
      </c>
      <c r="I100" s="13"/>
      <c r="K100" s="8" t="s">
        <v>26</v>
      </c>
      <c r="L100" s="12">
        <f>+L98-L99</f>
        <v>-8333.3333333333339</v>
      </c>
      <c r="N100" s="13"/>
      <c r="P100" s="8" t="s">
        <v>26</v>
      </c>
      <c r="Q100" s="12">
        <f>+Q98-Q99</f>
        <v>-8333.3333333333339</v>
      </c>
      <c r="S100" s="13"/>
      <c r="U100" s="8" t="s">
        <v>26</v>
      </c>
      <c r="V100" s="12">
        <f>+V98-V99</f>
        <v>-8333.3333333333339</v>
      </c>
      <c r="X100" s="13"/>
    </row>
    <row r="101" spans="1:27" x14ac:dyDescent="0.25">
      <c r="A101" s="8" t="s">
        <v>21</v>
      </c>
      <c r="B101" s="14">
        <f>+B96</f>
        <v>0</v>
      </c>
      <c r="D101" s="13"/>
      <c r="F101" s="8" t="s">
        <v>21</v>
      </c>
      <c r="G101" s="14">
        <f>+G96</f>
        <v>0</v>
      </c>
      <c r="I101" s="13"/>
      <c r="K101" s="8" t="s">
        <v>21</v>
      </c>
      <c r="L101" s="14">
        <f>+L96</f>
        <v>0</v>
      </c>
      <c r="N101" s="13"/>
      <c r="P101" s="8" t="s">
        <v>21</v>
      </c>
      <c r="Q101" s="14">
        <f>+Q96</f>
        <v>0</v>
      </c>
      <c r="S101" s="13"/>
      <c r="U101" s="8" t="s">
        <v>21</v>
      </c>
      <c r="V101" s="14">
        <f>+V96</f>
        <v>0</v>
      </c>
      <c r="X101" s="13"/>
    </row>
    <row r="102" spans="1:27" x14ac:dyDescent="0.25">
      <c r="A102" s="15" t="s">
        <v>27</v>
      </c>
      <c r="B102" s="16">
        <f>+B100*B101</f>
        <v>0</v>
      </c>
      <c r="C102" s="17"/>
      <c r="D102" s="18">
        <f>IF(+D95-100000=-100000,0,D95-100000)</f>
        <v>0</v>
      </c>
      <c r="F102" s="15" t="s">
        <v>27</v>
      </c>
      <c r="G102" s="16">
        <f>+G100*G101</f>
        <v>0</v>
      </c>
      <c r="H102" s="17"/>
      <c r="I102" s="18">
        <f>IF(+I95-100000=-100000,0,I95-100000)</f>
        <v>0</v>
      </c>
      <c r="K102" s="15" t="s">
        <v>27</v>
      </c>
      <c r="L102" s="16">
        <f>+L100*L101</f>
        <v>0</v>
      </c>
      <c r="M102" s="17"/>
      <c r="N102" s="18">
        <f>IF(+N95-100000=-100000,0,N95-100000)</f>
        <v>0</v>
      </c>
      <c r="P102" s="15" t="s">
        <v>27</v>
      </c>
      <c r="Q102" s="16">
        <f>+Q100*Q101</f>
        <v>0</v>
      </c>
      <c r="R102" s="17"/>
      <c r="S102" s="18">
        <f>IF(+S95-100000=-100000,0,S95-100000)</f>
        <v>0</v>
      </c>
      <c r="U102" s="15" t="s">
        <v>27</v>
      </c>
      <c r="V102" s="16">
        <f>+V100*V101</f>
        <v>0</v>
      </c>
      <c r="W102" s="17"/>
      <c r="X102" s="18">
        <f>IF(+X95-100000=-100000,0,X95-100000)</f>
        <v>0</v>
      </c>
    </row>
    <row r="106" spans="1:27" x14ac:dyDescent="0.25">
      <c r="B106" s="19">
        <f>SUM(B102,B92,B82,B72,B62,B52,B42,B32,B22,B12)</f>
        <v>0</v>
      </c>
      <c r="D106" s="19">
        <f>SUM(D102,D92,D82,D72,D62,D52,D42,D32,D22,D12)</f>
        <v>0</v>
      </c>
      <c r="G106" s="19">
        <f>SUM(G102,G92,G82,G72,G62,G52,G42,G32,G22,G12)</f>
        <v>0</v>
      </c>
      <c r="I106" s="19">
        <f>SUM(I102,I92,I82,I72,I62,I52,I42,I32,I22,I12)</f>
        <v>0</v>
      </c>
      <c r="L106" s="19">
        <f>SUM(L102,L92,L82,L72,L62,L52,L42,L32,L22,L12)</f>
        <v>0</v>
      </c>
      <c r="N106" s="19">
        <f>SUM(N102,N92,N82,N72,N62,N52,N42,N32,N22,N12)</f>
        <v>0</v>
      </c>
      <c r="Q106" s="19">
        <f>SUM(Q102,Q92,Q82,Q72,Q62,Q52,Q42,Q32,Q22,Q12)</f>
        <v>0</v>
      </c>
      <c r="S106" s="19">
        <f>SUM(S102,S92,S82,S72,S62,S52,S42,S32,S22,S12)</f>
        <v>0</v>
      </c>
      <c r="V106" s="19">
        <f>SUM(V102,V92,V82,V72,V62,V52,V42,V32,V22,V12)</f>
        <v>0</v>
      </c>
      <c r="X106" s="19">
        <f>SUM(X102,X92,X82,X72,X62,X52,X42,X32,X22,X12)</f>
        <v>0</v>
      </c>
      <c r="AA106" s="19">
        <f>SUM(B106:X106)</f>
        <v>0</v>
      </c>
    </row>
    <row r="107" spans="1:27" x14ac:dyDescent="0.25">
      <c r="Y107" t="s">
        <v>275</v>
      </c>
      <c r="AA107" s="19">
        <f>AA106/12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08AE7-8037-40C9-8ECC-2D2CE4AA1DA3}">
  <sheetPr>
    <tabColor rgb="FF00416B"/>
  </sheetPr>
  <dimension ref="A1:W41"/>
  <sheetViews>
    <sheetView showGridLines="0" workbookViewId="0">
      <selection activeCell="B4" sqref="B4:D4"/>
    </sheetView>
  </sheetViews>
  <sheetFormatPr defaultColWidth="8.85546875" defaultRowHeight="15" x14ac:dyDescent="0.25"/>
  <cols>
    <col min="1" max="1" width="24.7109375" style="20" customWidth="1"/>
    <col min="2" max="4" width="8.85546875" style="20"/>
    <col min="5" max="5" width="12.85546875" style="20" customWidth="1"/>
    <col min="6" max="6" width="19.42578125" style="20" customWidth="1"/>
    <col min="7" max="9" width="8.85546875" style="20"/>
    <col min="10" max="10" width="9.5703125" style="20" bestFit="1" customWidth="1"/>
    <col min="11" max="11" width="8.85546875" style="20"/>
    <col min="12" max="12" width="9.5703125" style="20" bestFit="1" customWidth="1"/>
    <col min="13" max="16384" width="8.85546875" style="20"/>
  </cols>
  <sheetData>
    <row r="1" spans="1:23" x14ac:dyDescent="0.25">
      <c r="A1" s="191" t="s">
        <v>243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3"/>
      <c r="N1" s="205" t="s">
        <v>246</v>
      </c>
      <c r="O1" s="192"/>
      <c r="P1" s="192"/>
      <c r="Q1" s="192"/>
      <c r="R1" s="192"/>
      <c r="S1" s="192"/>
      <c r="T1" s="192"/>
      <c r="U1" s="206"/>
    </row>
    <row r="2" spans="1:23" ht="14.45" customHeight="1" x14ac:dyDescent="0.25">
      <c r="A2" s="194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6"/>
      <c r="N2" s="207"/>
      <c r="O2" s="195"/>
      <c r="P2" s="195"/>
      <c r="Q2" s="195"/>
      <c r="R2" s="195"/>
      <c r="S2" s="195"/>
      <c r="T2" s="195"/>
      <c r="U2" s="208"/>
    </row>
    <row r="3" spans="1:23" customFormat="1" ht="7.15" customHeight="1" x14ac:dyDescent="0.25">
      <c r="N3" s="120"/>
      <c r="O3" s="121"/>
      <c r="P3" s="121"/>
      <c r="Q3" s="121"/>
      <c r="R3" s="121"/>
      <c r="S3" s="121"/>
      <c r="T3" s="121"/>
      <c r="U3" s="122"/>
    </row>
    <row r="4" spans="1:23" ht="19.899999999999999" customHeight="1" thickBot="1" x14ac:dyDescent="0.3">
      <c r="A4" s="40" t="s">
        <v>195</v>
      </c>
      <c r="B4" s="203"/>
      <c r="C4" s="203"/>
      <c r="D4" s="203"/>
      <c r="F4" s="40" t="s">
        <v>196</v>
      </c>
      <c r="G4" s="203"/>
      <c r="H4" s="203"/>
      <c r="I4" s="203"/>
      <c r="L4" s="135"/>
      <c r="N4" s="209" t="s">
        <v>222</v>
      </c>
      <c r="O4" s="210"/>
      <c r="P4" s="210"/>
      <c r="Q4" s="210"/>
      <c r="R4" s="210"/>
      <c r="S4" s="210"/>
      <c r="T4" s="211"/>
      <c r="U4" s="212"/>
      <c r="V4" s="215" t="s">
        <v>253</v>
      </c>
      <c r="W4" s="216"/>
    </row>
    <row r="5" spans="1:23" ht="19.899999999999999" customHeight="1" thickBot="1" x14ac:dyDescent="0.3">
      <c r="A5" s="28" t="s">
        <v>229</v>
      </c>
      <c r="B5" s="201"/>
      <c r="C5" s="201"/>
      <c r="D5" s="201"/>
      <c r="F5" s="73"/>
      <c r="G5" s="201"/>
      <c r="H5" s="201"/>
      <c r="I5" s="201"/>
      <c r="K5" s="204"/>
      <c r="L5" s="204"/>
      <c r="N5" s="209" t="s">
        <v>223</v>
      </c>
      <c r="O5" s="210"/>
      <c r="P5" s="210"/>
      <c r="Q5" s="123"/>
      <c r="R5" s="43"/>
      <c r="S5" s="43"/>
      <c r="T5" s="213" t="str">
        <f>IFERROR(HYPERLINK(VLOOKUP(T4,'Data Validation'!Z19:AA24,2,FALSE),T4),"")</f>
        <v/>
      </c>
      <c r="U5" s="214"/>
      <c r="V5" s="217"/>
      <c r="W5" s="218"/>
    </row>
    <row r="6" spans="1:23" ht="19.899999999999999" customHeight="1" thickBot="1" x14ac:dyDescent="0.3">
      <c r="A6" s="40" t="s">
        <v>197</v>
      </c>
      <c r="B6" s="201"/>
      <c r="C6" s="201"/>
      <c r="D6" s="201"/>
      <c r="G6" s="201"/>
      <c r="H6" s="201"/>
      <c r="I6" s="201"/>
      <c r="N6" s="219" t="s">
        <v>247</v>
      </c>
      <c r="O6" s="220"/>
      <c r="P6" s="220"/>
      <c r="Q6" s="123"/>
      <c r="R6" s="123"/>
      <c r="S6" s="123"/>
      <c r="T6" s="123"/>
      <c r="U6" s="125"/>
    </row>
    <row r="7" spans="1:23" ht="19.899999999999999" customHeight="1" thickBot="1" x14ac:dyDescent="0.3">
      <c r="A7" s="40" t="s">
        <v>242</v>
      </c>
      <c r="B7" s="168"/>
      <c r="C7" s="168"/>
      <c r="D7" s="102"/>
      <c r="G7" s="201"/>
      <c r="H7" s="201"/>
      <c r="I7" s="201"/>
      <c r="N7" s="124" t="s">
        <v>252</v>
      </c>
      <c r="O7" s="118"/>
      <c r="P7" s="118"/>
      <c r="Q7" s="123"/>
      <c r="R7" s="226"/>
      <c r="S7" s="227"/>
      <c r="T7" s="227"/>
      <c r="U7" s="228"/>
    </row>
    <row r="8" spans="1:23" ht="19.899999999999999" customHeight="1" thickBot="1" x14ac:dyDescent="0.3">
      <c r="A8" s="202" t="str">
        <f>IF(OR(B7='Data Validation'!Q12,'Reviewer Worksheet'!B7='Data Validation'!Q13,'Reviewer Worksheet'!B7='Data Validation'!Q15),"File must go to Underwriting, do not send to close!","")</f>
        <v/>
      </c>
      <c r="B8" s="202"/>
      <c r="C8" s="202"/>
      <c r="D8" s="202"/>
      <c r="E8" s="202"/>
      <c r="F8" s="28" t="s">
        <v>225</v>
      </c>
      <c r="G8" s="201"/>
      <c r="H8" s="201"/>
      <c r="I8" s="201"/>
      <c r="N8" s="221" t="s">
        <v>248</v>
      </c>
      <c r="O8" s="222"/>
      <c r="P8" s="222"/>
      <c r="Q8" s="222"/>
      <c r="R8" s="223" t="str">
        <f>IFERROR(HYPERLINK("mailto:"&amp;R7&amp;"?"&amp;"bcc="&amp;VLOOKUP(T4,'Data Validation'!AF25:AG27,2,FALSE)&amp;"&amp;Subject=""PPP Missing Documentation Request","Click Here to Send Email"),"")</f>
        <v/>
      </c>
      <c r="S8" s="224"/>
      <c r="T8" s="224"/>
      <c r="U8" s="225"/>
    </row>
    <row r="9" spans="1:23" ht="19.899999999999999" customHeight="1" thickBot="1" x14ac:dyDescent="0.3">
      <c r="A9" s="184" t="s">
        <v>262</v>
      </c>
      <c r="B9" s="133"/>
      <c r="C9" s="131" t="str">
        <f>IF(OR(B9="No",ISBLANK(B9)),"","Send to Underwriting")</f>
        <v/>
      </c>
      <c r="D9" s="131"/>
      <c r="E9" s="131"/>
      <c r="F9" s="28"/>
      <c r="G9"/>
      <c r="H9" s="132"/>
      <c r="I9" s="132"/>
      <c r="N9" s="126"/>
      <c r="O9" s="127"/>
      <c r="P9" s="127"/>
      <c r="Q9" s="127"/>
      <c r="R9" s="127"/>
      <c r="S9" s="127"/>
      <c r="T9" s="127"/>
      <c r="U9" s="128"/>
    </row>
    <row r="10" spans="1:23" ht="10.15" customHeight="1" x14ac:dyDescent="0.25">
      <c r="A10" s="184"/>
      <c r="G10"/>
      <c r="H10"/>
      <c r="I10"/>
    </row>
    <row r="11" spans="1:23" ht="10.15" customHeight="1" x14ac:dyDescent="0.25">
      <c r="G11"/>
      <c r="H11"/>
      <c r="I11"/>
    </row>
    <row r="12" spans="1:23" ht="19.899999999999999" customHeight="1" x14ac:dyDescent="0.25">
      <c r="A12" s="186" t="s">
        <v>198</v>
      </c>
      <c r="B12" s="189"/>
      <c r="C12" s="189"/>
      <c r="D12" s="187"/>
      <c r="E12"/>
    </row>
    <row r="13" spans="1:23" ht="19.899999999999999" customHeight="1" thickBot="1" x14ac:dyDescent="0.3">
      <c r="A13"/>
      <c r="B13"/>
      <c r="C13"/>
      <c r="D13"/>
      <c r="E13"/>
      <c r="F13" s="98" t="s">
        <v>224</v>
      </c>
      <c r="M13" s="100"/>
      <c r="O13" s="76" t="str">
        <f>IF(M13="No", "Doc renaming must be completed prior to Uwing!","")</f>
        <v/>
      </c>
    </row>
    <row r="14" spans="1:23" ht="16.5" thickBot="1" x14ac:dyDescent="0.3">
      <c r="A14" s="97" t="s">
        <v>199</v>
      </c>
      <c r="D14" s="110"/>
      <c r="E14"/>
      <c r="F14" s="97" t="s">
        <v>201</v>
      </c>
      <c r="M14" s="100"/>
      <c r="O14" s="76" t="str">
        <f>IF(M14="No","Must get from borrower!","")</f>
        <v/>
      </c>
    </row>
    <row r="15" spans="1:23" ht="16.5" thickBot="1" x14ac:dyDescent="0.3">
      <c r="A15" s="97" t="s">
        <v>200</v>
      </c>
      <c r="D15" s="111"/>
      <c r="E15"/>
      <c r="F15" s="97" t="s">
        <v>203</v>
      </c>
      <c r="K15" s="74"/>
      <c r="M15" s="101"/>
      <c r="O15" s="76" t="str">
        <f>IF(M15="No","Borrower must provide new voided check","")</f>
        <v/>
      </c>
    </row>
    <row r="16" spans="1:23" ht="16.5" thickBot="1" x14ac:dyDescent="0.3">
      <c r="A16" s="97" t="s">
        <v>202</v>
      </c>
      <c r="D16" s="111"/>
      <c r="E16"/>
      <c r="F16" s="97" t="s">
        <v>205</v>
      </c>
      <c r="K16" s="74"/>
      <c r="M16" s="101"/>
      <c r="O16" s="76" t="str">
        <f>IF(M16="Yes","Must go to Underwriting for review!","")</f>
        <v/>
      </c>
    </row>
    <row r="17" spans="1:22" ht="16.5" thickBot="1" x14ac:dyDescent="0.3">
      <c r="A17" s="97" t="s">
        <v>204</v>
      </c>
      <c r="D17" s="111"/>
      <c r="E17"/>
      <c r="F17" s="98" t="s">
        <v>226</v>
      </c>
      <c r="M17" s="101"/>
      <c r="O17" s="76" t="str">
        <f>IF(M17="No","Check in original loan folder, if not there, email borrower","")</f>
        <v/>
      </c>
    </row>
    <row r="18" spans="1:22" ht="16.5" thickBot="1" x14ac:dyDescent="0.3">
      <c r="A18" s="97" t="s">
        <v>254</v>
      </c>
      <c r="D18" s="111"/>
      <c r="F18" s="200" t="s">
        <v>244</v>
      </c>
      <c r="G18" s="200"/>
      <c r="H18" s="200"/>
      <c r="M18" s="109"/>
      <c r="O18" s="76" t="str">
        <f>IF(M18="No","Company TIN and Owner(s)' SSN MUST be validated!","")</f>
        <v/>
      </c>
    </row>
    <row r="19" spans="1:22" ht="16.149999999999999" customHeight="1" thickBot="1" x14ac:dyDescent="0.3">
      <c r="O19" s="40" t="str">
        <f>IF(M18="No","Have you validated the TIN/SSN?","")</f>
        <v/>
      </c>
      <c r="S19" s="106"/>
      <c r="T19" s="105"/>
    </row>
    <row r="20" spans="1:22" ht="18.75" x14ac:dyDescent="0.3">
      <c r="A20" s="104" t="s">
        <v>206</v>
      </c>
      <c r="F20" s="103" t="s">
        <v>207</v>
      </c>
      <c r="J20" s="186" t="s">
        <v>208</v>
      </c>
      <c r="K20" s="187"/>
      <c r="L20" s="75" t="str">
        <f>IF(OR(H23="No",H24="No",H25="No",H27="No"),"Please email borrower for photo ID","")</f>
        <v/>
      </c>
    </row>
    <row r="22" spans="1:22" ht="19.5" thickBot="1" x14ac:dyDescent="0.35">
      <c r="A22" s="99">
        <f>B6</f>
        <v>0</v>
      </c>
      <c r="B22" s="112"/>
      <c r="C22" s="185" t="str">
        <f>IF(OR(B22="No",B23="No",B24="No",B25="No",B27="No"),"Email Valerie Assad!","")</f>
        <v/>
      </c>
      <c r="D22" s="185"/>
      <c r="E22" s="185"/>
      <c r="F22" s="28" t="s">
        <v>209</v>
      </c>
      <c r="H22" s="114"/>
      <c r="I22"/>
      <c r="J22" s="190"/>
      <c r="K22" s="190"/>
      <c r="M22" s="75" t="str">
        <f t="shared" ref="M22:M27" ca="1" si="0">IF(ISBLANK(J22),"",IF(J22&lt;=TODAY(),"ID Expired! Please email borrower",""))</f>
        <v/>
      </c>
      <c r="R22" s="97" t="str">
        <f>IF($D$18="Yes","OFAC in file and clear for:","")</f>
        <v/>
      </c>
      <c r="V22" s="110"/>
    </row>
    <row r="23" spans="1:22" ht="19.5" thickBot="1" x14ac:dyDescent="0.35">
      <c r="A23" s="99">
        <f>G4</f>
        <v>0</v>
      </c>
      <c r="B23" s="113"/>
      <c r="C23" s="185"/>
      <c r="D23" s="185"/>
      <c r="E23" s="185"/>
      <c r="F23" s="99">
        <f>A23</f>
        <v>0</v>
      </c>
      <c r="H23" s="50"/>
      <c r="J23" s="188"/>
      <c r="K23" s="188"/>
      <c r="M23" s="75" t="str">
        <f t="shared" ca="1" si="0"/>
        <v/>
      </c>
      <c r="R23" s="97" t="str">
        <f>IF($D$18="Yes","SAM Check in file and clear for:","")</f>
        <v/>
      </c>
      <c r="V23" s="111"/>
    </row>
    <row r="24" spans="1:22" ht="19.5" thickBot="1" x14ac:dyDescent="0.35">
      <c r="A24" s="99">
        <f>G5</f>
        <v>0</v>
      </c>
      <c r="B24" s="113"/>
      <c r="C24" s="185"/>
      <c r="D24" s="185"/>
      <c r="E24" s="185"/>
      <c r="F24" s="99">
        <f t="shared" ref="F24:F25" si="1">A24</f>
        <v>0</v>
      </c>
      <c r="H24" s="50"/>
      <c r="J24" s="188"/>
      <c r="K24" s="188"/>
      <c r="M24" s="75" t="str">
        <f t="shared" ca="1" si="0"/>
        <v/>
      </c>
    </row>
    <row r="25" spans="1:22" ht="19.5" thickBot="1" x14ac:dyDescent="0.35">
      <c r="A25" s="99">
        <f>G6</f>
        <v>0</v>
      </c>
      <c r="B25" s="113"/>
      <c r="C25" s="185"/>
      <c r="D25" s="185"/>
      <c r="E25" s="185"/>
      <c r="F25" s="99">
        <f t="shared" si="1"/>
        <v>0</v>
      </c>
      <c r="H25" s="50"/>
      <c r="J25" s="188"/>
      <c r="K25" s="188"/>
      <c r="M25" s="75" t="str">
        <f t="shared" ca="1" si="0"/>
        <v/>
      </c>
    </row>
    <row r="26" spans="1:22" ht="19.5" thickBot="1" x14ac:dyDescent="0.35">
      <c r="A26" s="99">
        <f>G7</f>
        <v>0</v>
      </c>
      <c r="B26" s="113"/>
      <c r="C26" s="185"/>
      <c r="D26" s="185"/>
      <c r="E26" s="185"/>
      <c r="F26" s="99">
        <f>A26</f>
        <v>0</v>
      </c>
      <c r="H26" s="50"/>
      <c r="J26" s="188"/>
      <c r="K26" s="188"/>
      <c r="M26" s="75" t="str">
        <f t="shared" ca="1" si="0"/>
        <v/>
      </c>
    </row>
    <row r="27" spans="1:22" ht="19.5" thickBot="1" x14ac:dyDescent="0.35">
      <c r="A27" s="29" t="str">
        <f>IF(OR(G8=G7,G8=G6,G8=G5,G8=G4),"No Need to Add Signer",G8)</f>
        <v>No Need to Add Signer</v>
      </c>
      <c r="B27" s="113"/>
      <c r="C27" s="185"/>
      <c r="D27" s="185"/>
      <c r="E27" s="185"/>
      <c r="F27" s="29" t="str">
        <f>A27</f>
        <v>No Need to Add Signer</v>
      </c>
      <c r="H27" s="50"/>
      <c r="J27" s="188"/>
      <c r="K27" s="188"/>
      <c r="M27" s="75" t="str">
        <f t="shared" ca="1" si="0"/>
        <v/>
      </c>
    </row>
    <row r="28" spans="1:22" x14ac:dyDescent="0.25">
      <c r="H28" s="27"/>
    </row>
    <row r="29" spans="1:22" ht="15.75" x14ac:dyDescent="0.25">
      <c r="A29" s="197" t="s">
        <v>258</v>
      </c>
      <c r="B29" s="198"/>
      <c r="F29" s="197" t="s">
        <v>210</v>
      </c>
      <c r="G29" s="199"/>
      <c r="H29" s="198"/>
    </row>
    <row r="30" spans="1:22" ht="5.45" customHeight="1" x14ac:dyDescent="0.25"/>
    <row r="31" spans="1:22" ht="16.5" thickBot="1" x14ac:dyDescent="0.3">
      <c r="A31" s="99">
        <f>B6</f>
        <v>0</v>
      </c>
      <c r="B31" s="96"/>
      <c r="C31" s="185" t="str">
        <f>IF(OR(B31="No",B32="No",B33="No",B34="No",B35="No"),"Hard stop, contact your coach to resolve","")</f>
        <v/>
      </c>
      <c r="D31" s="185"/>
      <c r="E31" s="185"/>
      <c r="F31" s="99">
        <f>B6</f>
        <v>0</v>
      </c>
      <c r="G31" s="74"/>
      <c r="H31" s="96"/>
      <c r="J31" s="185" t="str">
        <f>IF(OR(H31="No",H32="No",H33="No",H34="no",H35="no"),"Hard stop, contact your coach to resolve","")</f>
        <v/>
      </c>
      <c r="K31" s="185"/>
      <c r="L31" s="185"/>
      <c r="M31" s="76" t="str">
        <f>IF(D14="no","Correct borrower name in LP","")</f>
        <v/>
      </c>
      <c r="Q31" s="40" t="str">
        <f>IF(M31&lt;&gt;"","Did you correct the name?","")</f>
        <v/>
      </c>
      <c r="R31"/>
      <c r="S31"/>
      <c r="U31" s="107"/>
    </row>
    <row r="32" spans="1:22" ht="16.5" thickBot="1" x14ac:dyDescent="0.3">
      <c r="A32" s="99">
        <f>A23</f>
        <v>0</v>
      </c>
      <c r="B32" s="50"/>
      <c r="C32" s="185"/>
      <c r="D32" s="185"/>
      <c r="E32" s="185"/>
      <c r="F32" s="99">
        <f>A23</f>
        <v>0</v>
      </c>
      <c r="G32" s="74"/>
      <c r="H32" s="50"/>
      <c r="J32" s="185"/>
      <c r="K32" s="185"/>
      <c r="L32" s="185"/>
      <c r="M32" s="76" t="str">
        <f>IF(D15="NO","Correct business type in LP","")</f>
        <v/>
      </c>
      <c r="Q32" s="40" t="str">
        <f>IF(M32&lt;&gt;"","Did you correct the business type?","")</f>
        <v/>
      </c>
      <c r="R32"/>
      <c r="S32"/>
      <c r="U32" s="108"/>
    </row>
    <row r="33" spans="1:21" ht="16.5" thickBot="1" x14ac:dyDescent="0.3">
      <c r="A33" s="99">
        <f>A24</f>
        <v>0</v>
      </c>
      <c r="B33" s="50"/>
      <c r="C33" s="185"/>
      <c r="D33" s="185"/>
      <c r="E33" s="185"/>
      <c r="F33" s="99">
        <f>A24</f>
        <v>0</v>
      </c>
      <c r="G33" s="74"/>
      <c r="H33" s="50"/>
      <c r="J33" s="185"/>
      <c r="K33" s="185"/>
      <c r="L33" s="185"/>
      <c r="M33" s="76" t="str">
        <f>IF(D16="No","Update state of formation in LP","")</f>
        <v/>
      </c>
      <c r="Q33" s="40" t="str">
        <f>IF(M33&lt;&gt;"","Did you correct the state of formation?","")</f>
        <v/>
      </c>
      <c r="R33"/>
      <c r="S33"/>
      <c r="U33" s="108"/>
    </row>
    <row r="34" spans="1:21" ht="16.5" thickBot="1" x14ac:dyDescent="0.3">
      <c r="A34" s="99">
        <f>A25</f>
        <v>0</v>
      </c>
      <c r="B34" s="50"/>
      <c r="C34" s="185"/>
      <c r="D34" s="185"/>
      <c r="E34" s="185"/>
      <c r="F34" s="99">
        <f>A25</f>
        <v>0</v>
      </c>
      <c r="G34" s="74"/>
      <c r="H34" s="50"/>
      <c r="J34" s="185"/>
      <c r="K34" s="185"/>
      <c r="L34" s="185"/>
      <c r="M34" s="76" t="str">
        <f>IF(D17="No","Send email to borrower","")</f>
        <v/>
      </c>
      <c r="Q34" s="40" t="str">
        <f>IF(M34&lt;&gt;"","Did you email the borrower?","")</f>
        <v/>
      </c>
      <c r="R34"/>
      <c r="S34"/>
      <c r="U34" s="108"/>
    </row>
    <row r="35" spans="1:21" ht="15.75" thickBot="1" x14ac:dyDescent="0.3">
      <c r="A35" s="99">
        <f>A26</f>
        <v>0</v>
      </c>
      <c r="B35" s="50"/>
      <c r="C35" s="185"/>
      <c r="D35" s="185"/>
      <c r="E35" s="185"/>
      <c r="F35" s="99">
        <f>A26</f>
        <v>0</v>
      </c>
      <c r="G35" s="74"/>
      <c r="H35" s="50"/>
      <c r="J35" s="185"/>
      <c r="K35" s="185"/>
      <c r="L35" s="185"/>
    </row>
    <row r="38" spans="1:21" x14ac:dyDescent="0.25">
      <c r="F38" s="73"/>
    </row>
    <row r="40" spans="1:21" ht="31.15" customHeight="1" x14ac:dyDescent="0.25"/>
    <row r="41" spans="1:21" x14ac:dyDescent="0.25">
      <c r="F41" s="73"/>
    </row>
  </sheetData>
  <sheetProtection algorithmName="SHA-512" hashValue="TpZmd7vDDQEDx+9RJXU/oJUDMfPmnp8RmjuDXbA5RVLIx5sZoEIHewmuj3E8THN90OhkriXi6uzDknpMo+982Q==" saltValue="o3VQrgEpQ6F0rPnLIX8fHQ==" spinCount="100000" sheet="1" formatCells="0" formatColumns="0" formatRows="0" insertColumns="0" insertRows="0" insertHyperlinks="0" deleteColumns="0" deleteRows="0" sort="0" autoFilter="0" pivotTables="0"/>
  <mergeCells count="37">
    <mergeCell ref="V4:W5"/>
    <mergeCell ref="N6:P6"/>
    <mergeCell ref="N8:Q8"/>
    <mergeCell ref="R8:U8"/>
    <mergeCell ref="R7:U7"/>
    <mergeCell ref="N1:U2"/>
    <mergeCell ref="N4:S4"/>
    <mergeCell ref="T4:U4"/>
    <mergeCell ref="N5:P5"/>
    <mergeCell ref="T5:U5"/>
    <mergeCell ref="A1:L2"/>
    <mergeCell ref="A29:B29"/>
    <mergeCell ref="F29:H29"/>
    <mergeCell ref="F18:H18"/>
    <mergeCell ref="G5:I5"/>
    <mergeCell ref="G6:I6"/>
    <mergeCell ref="B5:D5"/>
    <mergeCell ref="G8:I8"/>
    <mergeCell ref="B7:C7"/>
    <mergeCell ref="A8:E8"/>
    <mergeCell ref="G7:I7"/>
    <mergeCell ref="B4:D4"/>
    <mergeCell ref="G4:I4"/>
    <mergeCell ref="B6:D6"/>
    <mergeCell ref="J26:K26"/>
    <mergeCell ref="K5:L5"/>
    <mergeCell ref="A9:A10"/>
    <mergeCell ref="J31:L35"/>
    <mergeCell ref="C31:E35"/>
    <mergeCell ref="J20:K20"/>
    <mergeCell ref="J27:K27"/>
    <mergeCell ref="A12:D12"/>
    <mergeCell ref="J23:K23"/>
    <mergeCell ref="J24:K24"/>
    <mergeCell ref="J25:K25"/>
    <mergeCell ref="J22:K22"/>
    <mergeCell ref="C22:E27"/>
  </mergeCells>
  <conditionalFormatting sqref="G4:I7 B22:B27 B31:B35 H31:H35 H22:H27 J22:K25 G8 B4:D4 B6:D6 B7 M13:M18 D14:D18 J27:K27 J26">
    <cfRule type="containsBlanks" dxfId="21" priority="12">
      <formula>LEN(TRIM(B4))=0</formula>
    </cfRule>
  </conditionalFormatting>
  <conditionalFormatting sqref="T4">
    <cfRule type="containsBlanks" dxfId="20" priority="11">
      <formula>LEN(TRIM(T4))=0</formula>
    </cfRule>
  </conditionalFormatting>
  <conditionalFormatting sqref="B5:D5">
    <cfRule type="containsBlanks" dxfId="19" priority="9">
      <formula>LEN(TRIM(B5))=0</formula>
    </cfRule>
  </conditionalFormatting>
  <conditionalFormatting sqref="S19">
    <cfRule type="expression" dxfId="18" priority="8">
      <formula>O19="Have you validated the TIN/SSN?"</formula>
    </cfRule>
  </conditionalFormatting>
  <conditionalFormatting sqref="U31">
    <cfRule type="expression" dxfId="17" priority="7">
      <formula>D14="No"</formula>
    </cfRule>
  </conditionalFormatting>
  <conditionalFormatting sqref="U32">
    <cfRule type="expression" dxfId="16" priority="6">
      <formula>D15="No"</formula>
    </cfRule>
  </conditionalFormatting>
  <conditionalFormatting sqref="U33">
    <cfRule type="expression" dxfId="15" priority="5">
      <formula>D16="No"</formula>
    </cfRule>
  </conditionalFormatting>
  <conditionalFormatting sqref="U34">
    <cfRule type="expression" dxfId="14" priority="4">
      <formula>D17="No"</formula>
    </cfRule>
  </conditionalFormatting>
  <conditionalFormatting sqref="R7:U7">
    <cfRule type="containsBlanks" dxfId="13" priority="3">
      <formula>LEN(TRIM(R7))=0</formula>
    </cfRule>
  </conditionalFormatting>
  <conditionalFormatting sqref="V22:V23">
    <cfRule type="containsBlanks" dxfId="12" priority="2">
      <formula>LEN(TRIM(V22))=0</formula>
    </cfRule>
  </conditionalFormatting>
  <conditionalFormatting sqref="B9">
    <cfRule type="containsBlanks" dxfId="11" priority="1">
      <formula>LEN(TRIM(B9))=0</formula>
    </cfRule>
  </conditionalFormatting>
  <hyperlinks>
    <hyperlink ref="N6:P6" r:id="rId1" display="Click here for the SBA FAQ" xr:uid="{1E91BABB-06DD-43B8-94C7-C8F86DDCF775}"/>
  </hyperlinks>
  <pageMargins left="0.7" right="0.7" top="0.75" bottom="0.75" header="0.3" footer="0.3"/>
  <pageSetup orientation="portrait" horizontalDpi="1200" verticalDpi="1200" r:id="rId2"/>
  <drawing r:id="rId3"/>
  <legacyDrawing r:id="rId4"/>
  <oleObjects>
    <mc:AlternateContent xmlns:mc="http://schemas.openxmlformats.org/markup-compatibility/2006">
      <mc:Choice Requires="x14">
        <oleObject progId="Document" dvAspect="DVASPECT_ICON" shapeId="3081" r:id="rId5">
          <objectPr defaultSize="0" r:id="rId6">
            <anchor moveWithCells="1">
              <from>
                <xdr:col>21</xdr:col>
                <xdr:colOff>142875</xdr:colOff>
                <xdr:row>5</xdr:row>
                <xdr:rowOff>76200</xdr:rowOff>
              </from>
              <to>
                <xdr:col>22</xdr:col>
                <xdr:colOff>447675</xdr:colOff>
                <xdr:row>8</xdr:row>
                <xdr:rowOff>19050</xdr:rowOff>
              </to>
            </anchor>
          </objectPr>
        </oleObject>
      </mc:Choice>
      <mc:Fallback>
        <oleObject progId="Document" dvAspect="DVASPECT_ICON" shapeId="3081" r:id="rId5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340FDDE7-F414-4402-859D-5BF411CD65FD}">
          <x14:formula1>
            <xm:f>'Data Validation'!$G$1:$G$3</xm:f>
          </x14:formula1>
          <xm:sqref>D14:D18 M13:M18 V22:V23</xm:sqref>
        </x14:dataValidation>
        <x14:dataValidation type="list" allowBlank="1" showInputMessage="1" showErrorMessage="1" xr:uid="{CC44FB67-37DC-46DB-B932-89BBAB3D3861}">
          <x14:formula1>
            <xm:f>'Data Validation'!$B$1:$B$2</xm:f>
          </x14:formula1>
          <xm:sqref>H31:H35 B22:B27 B31:B35 H22:H27 U31:U34 B9</xm:sqref>
        </x14:dataValidation>
        <x14:dataValidation type="list" allowBlank="1" showInputMessage="1" showErrorMessage="1" xr:uid="{2C36C9EF-D4AA-458D-B5C4-10013A910CCE}">
          <x14:formula1>
            <xm:f>'Data Validation'!$Q$12:$Q$15</xm:f>
          </x14:formula1>
          <xm:sqref>B7</xm:sqref>
        </x14:dataValidation>
        <x14:dataValidation type="list" allowBlank="1" showInputMessage="1" showErrorMessage="1" xr:uid="{8F8A01AF-3026-4926-8AF1-11E8276E0097}">
          <x14:formula1>
            <xm:f>'Data Validation'!$G$1:$G$2</xm:f>
          </x14:formula1>
          <xm:sqref>S19</xm:sqref>
        </x14:dataValidation>
        <x14:dataValidation type="list" allowBlank="1" showInputMessage="1" showErrorMessage="1" xr:uid="{7562E08A-E0D0-4697-BBD4-C82AAB3DB112}">
          <x14:formula1>
            <xm:f>'Data Validation'!$Z$19:$Z$21</xm:f>
          </x14:formula1>
          <xm:sqref>T4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9A252-0E7B-424E-B9EE-D2184C79C16F}">
  <sheetPr>
    <tabColor rgb="FFF2D10A"/>
  </sheetPr>
  <dimension ref="A1:R30"/>
  <sheetViews>
    <sheetView showGridLines="0" showZeros="0" workbookViewId="0">
      <selection activeCell="I4" sqref="I4:K4"/>
    </sheetView>
  </sheetViews>
  <sheetFormatPr defaultColWidth="8.85546875" defaultRowHeight="15" x14ac:dyDescent="0.25"/>
  <cols>
    <col min="1" max="4" width="8.85546875" style="20"/>
    <col min="5" max="6" width="18.28515625" style="20" customWidth="1"/>
    <col min="7" max="7" width="2.7109375" style="20" customWidth="1"/>
    <col min="8" max="9" width="13.7109375" style="20" customWidth="1"/>
    <col min="10" max="10" width="2.7109375" style="20" customWidth="1"/>
    <col min="11" max="14" width="13.7109375" style="20" customWidth="1"/>
    <col min="15" max="15" width="61" style="20" customWidth="1"/>
    <col min="16" max="16" width="10.140625" style="20" customWidth="1"/>
    <col min="17" max="19" width="8.85546875" style="20" customWidth="1"/>
    <col min="20" max="16384" width="8.85546875" style="20"/>
  </cols>
  <sheetData>
    <row r="1" spans="1:18" x14ac:dyDescent="0.25">
      <c r="A1" s="249" t="s">
        <v>192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1"/>
      <c r="O1" s="26" t="s">
        <v>50</v>
      </c>
      <c r="R1" s="21"/>
    </row>
    <row r="2" spans="1:18" ht="15.75" thickBot="1" x14ac:dyDescent="0.3">
      <c r="A2" s="252"/>
      <c r="B2" s="253"/>
      <c r="C2" s="253"/>
      <c r="D2" s="253"/>
      <c r="E2" s="253"/>
      <c r="F2" s="253"/>
      <c r="G2" s="254"/>
      <c r="H2" s="253"/>
      <c r="I2" s="253"/>
      <c r="J2" s="253"/>
      <c r="K2" s="253"/>
      <c r="L2" s="253"/>
      <c r="M2" s="253"/>
      <c r="N2" s="255"/>
      <c r="O2" s="41" t="s">
        <v>194</v>
      </c>
      <c r="R2" s="22"/>
    </row>
    <row r="3" spans="1:18" ht="15.75" thickBot="1" x14ac:dyDescent="0.3">
      <c r="A3" s="261" t="s">
        <v>60</v>
      </c>
      <c r="B3" s="262"/>
      <c r="C3" s="262"/>
      <c r="D3" s="262"/>
      <c r="E3" s="262"/>
      <c r="F3" s="263"/>
      <c r="G3" s="25"/>
      <c r="H3" s="261" t="s">
        <v>61</v>
      </c>
      <c r="I3" s="262"/>
      <c r="J3" s="262"/>
      <c r="K3" s="262"/>
      <c r="L3" s="262"/>
      <c r="M3" s="262"/>
      <c r="N3" s="263"/>
      <c r="O3" s="40" t="s">
        <v>55</v>
      </c>
      <c r="R3" s="22"/>
    </row>
    <row r="4" spans="1:18" ht="15.75" thickBot="1" x14ac:dyDescent="0.3">
      <c r="A4" s="28" t="s">
        <v>69</v>
      </c>
      <c r="B4" s="27"/>
      <c r="C4" s="31"/>
      <c r="D4" s="256" t="str">
        <f>'Eligible Payroll Cost'!C21</f>
        <v/>
      </c>
      <c r="E4" s="257"/>
      <c r="F4" s="27"/>
      <c r="H4" s="28" t="s">
        <v>231</v>
      </c>
      <c r="I4" s="266"/>
      <c r="J4" s="266"/>
      <c r="K4" s="266"/>
      <c r="L4" s="116"/>
      <c r="M4" s="116"/>
      <c r="N4" s="27"/>
      <c r="O4" s="71"/>
      <c r="R4" s="22"/>
    </row>
    <row r="5" spans="1:18" x14ac:dyDescent="0.25">
      <c r="A5" s="28" t="s">
        <v>128</v>
      </c>
      <c r="B5" s="27"/>
      <c r="C5" s="27"/>
      <c r="D5" s="258">
        <f>'Eligible Payroll Cost'!C12</f>
        <v>0</v>
      </c>
      <c r="E5" s="258"/>
      <c r="F5" s="27"/>
      <c r="H5" s="28" t="s">
        <v>236</v>
      </c>
      <c r="I5" s="267">
        <f>'Reviewer Worksheet'!B5</f>
        <v>0</v>
      </c>
      <c r="J5" s="267"/>
      <c r="N5" s="27"/>
      <c r="O5" s="29" t="str">
        <f>IF(ISBLANK($O$4),"",VLOOKUP($O$4,'Data Validation'!$A$5:$M$39,2,FALSE))</f>
        <v/>
      </c>
      <c r="R5" s="22"/>
    </row>
    <row r="6" spans="1:18" x14ac:dyDescent="0.25">
      <c r="A6" s="28" t="s">
        <v>193</v>
      </c>
      <c r="B6" s="27"/>
      <c r="C6" s="27"/>
      <c r="D6" s="260" t="str">
        <f>'Eligible Payroll Cost'!C30</f>
        <v/>
      </c>
      <c r="E6" s="260"/>
      <c r="F6" s="27"/>
      <c r="H6" s="28" t="s">
        <v>242</v>
      </c>
      <c r="I6" s="297">
        <f>'Reviewer Worksheet'!B7</f>
        <v>0</v>
      </c>
      <c r="J6" s="297"/>
      <c r="N6" s="27"/>
      <c r="O6" s="29" t="str">
        <f>IF(ISBLANK($O$4),"",VLOOKUP($O$4,'Data Validation'!$A$5:$M$39,3,FALSE))</f>
        <v/>
      </c>
    </row>
    <row r="7" spans="1:18" x14ac:dyDescent="0.25">
      <c r="A7" s="28" t="s">
        <v>230</v>
      </c>
      <c r="D7" s="258">
        <f>'Reviewer Worksheet'!B4</f>
        <v>0</v>
      </c>
      <c r="E7" s="258"/>
      <c r="N7" s="27"/>
      <c r="O7" s="29" t="str">
        <f>IF(ISBLANK($O$4),"",VLOOKUP($O$4,'Data Validation'!$A$5:$M$39,4,FALSE))</f>
        <v/>
      </c>
    </row>
    <row r="8" spans="1:18" ht="16.5" thickBot="1" x14ac:dyDescent="0.3">
      <c r="C8" s="241" t="str">
        <f>HYPERLINK("mailto:"&amp;'Reviewer Worksheet'!R7&amp; "?subject=""PPP Missing Doc Request","Click Here To Send Email for Missing Docs")</f>
        <v>Click Here To Send Email for Missing Docs</v>
      </c>
      <c r="D8" s="242"/>
      <c r="E8" s="242"/>
      <c r="F8" s="242"/>
      <c r="H8" s="174" t="s">
        <v>269</v>
      </c>
      <c r="I8" s="174"/>
      <c r="J8" s="174"/>
      <c r="K8" s="174"/>
      <c r="L8" s="232"/>
      <c r="M8" s="232"/>
      <c r="N8" s="32"/>
      <c r="O8" s="29" t="str">
        <f>IF(ISBLANK($O$4),"",VLOOKUP($O$4,'Data Validation'!$A$5:$M$39,5,FALSE))</f>
        <v/>
      </c>
    </row>
    <row r="9" spans="1:18" ht="15.75" x14ac:dyDescent="0.25">
      <c r="A9" s="244" t="s">
        <v>263</v>
      </c>
      <c r="B9" s="244"/>
      <c r="C9" s="244"/>
      <c r="D9" s="137">
        <f>'Reviewer Worksheet'!B9</f>
        <v>0</v>
      </c>
      <c r="E9" s="136" t="str">
        <f>'Reviewer Worksheet'!C9</f>
        <v/>
      </c>
      <c r="H9" s="243" t="str">
        <f>IF(ISBLANK(L8),"","Click here to send a Teams message --&gt;")</f>
        <v/>
      </c>
      <c r="I9" s="243"/>
      <c r="J9" s="243"/>
      <c r="K9" s="243"/>
      <c r="L9" s="231" t="str">
        <f>IFERROR(HYPERLINK(VLOOKUP(L8,'Data Validation'!AJ19:AK22,2,FALSE),L8),"")</f>
        <v/>
      </c>
      <c r="M9" s="231"/>
      <c r="N9" s="32"/>
      <c r="O9" s="29" t="str">
        <f>IF(ISBLANK($O$4),"",VLOOKUP($O$4,'Data Validation'!$A$5:$M$39,6,FALSE))</f>
        <v/>
      </c>
    </row>
    <row r="10" spans="1:18" x14ac:dyDescent="0.25">
      <c r="A10" s="244"/>
      <c r="B10" s="244"/>
      <c r="C10" s="244"/>
      <c r="N10" s="27"/>
      <c r="O10" s="29" t="str">
        <f>IF(ISBLANK($O$4),"",VLOOKUP($O$4,'Data Validation'!$A$5:$M$39,7,FALSE))</f>
        <v/>
      </c>
    </row>
    <row r="11" spans="1:18" ht="15.75" x14ac:dyDescent="0.25">
      <c r="A11" s="264" t="s">
        <v>148</v>
      </c>
      <c r="B11" s="265"/>
      <c r="C11" s="265"/>
      <c r="D11" s="265"/>
      <c r="E11" s="265"/>
      <c r="F11" s="265"/>
      <c r="H11" s="238" t="s">
        <v>112</v>
      </c>
      <c r="I11" s="239"/>
      <c r="J11" s="239"/>
      <c r="K11" s="239"/>
      <c r="L11" s="239"/>
      <c r="M11" s="239"/>
      <c r="N11" s="240"/>
      <c r="O11" s="30" t="str">
        <f>IF(ISBLANK($O$4),"",VLOOKUP($O$4,'Data Validation'!$A$5:$M$39,8,FALSE))</f>
        <v/>
      </c>
    </row>
    <row r="12" spans="1:18" ht="19.5" thickBot="1" x14ac:dyDescent="0.35">
      <c r="A12" s="54" t="s">
        <v>228</v>
      </c>
      <c r="B12" s="33"/>
      <c r="C12" s="33"/>
      <c r="D12" s="259"/>
      <c r="E12" s="259"/>
      <c r="F12" s="34" t="str">
        <f>IF(D12="Tax Forms","Tax Form","")</f>
        <v/>
      </c>
      <c r="H12" s="54" t="s">
        <v>270</v>
      </c>
      <c r="I12" s="37"/>
      <c r="J12" s="37"/>
      <c r="K12" s="37"/>
      <c r="L12" s="232"/>
      <c r="M12" s="232"/>
      <c r="N12" s="72"/>
      <c r="O12" s="29" t="str">
        <f>IF(ISBLANK($O$4),"",VLOOKUP($O$4,'Data Validation'!$A$5:$M$39,9,FALSE))</f>
        <v/>
      </c>
    </row>
    <row r="13" spans="1:18" x14ac:dyDescent="0.25">
      <c r="A13" s="209" t="str">
        <f>IF(D12="Financial Statements","If unaudited must be signed/initialed",IF(D12="Tax Forms","Select the Entity Type Below",""))</f>
        <v/>
      </c>
      <c r="B13" s="210"/>
      <c r="C13" s="210"/>
      <c r="D13" s="210"/>
      <c r="E13" s="210"/>
      <c r="F13" s="248" t="str">
        <f>IF(D14='Data Validation'!S2,"Form 1040 Sched C",IF(D14='Data Validation'!S3,"Form 1040 Sched F",IF('Underwriting Worksheet'!D14='Data Validation'!S4,"Form 1065",IF('Underwriting Worksheet'!D14='Data Validation'!S5,"Form 1120-S",IF('Underwriting Worksheet'!D14='Data Validation'!S6,"Form 1120",IF('Underwriting Worksheet'!D14='Data Validation'!S7,"Form 990",IF('Underwriting Worksheet'!D14='Data Validation'!S8,"Form 990-EZ","")))))))</f>
        <v/>
      </c>
      <c r="H13" s="235" t="str">
        <f>IF(L12="Tax Forms","Select Entity Type Below; Borrowers may use 2019 or 2020 forms, cannot mix &amp; match!",IF(L12="Payroll Reports/Other Docs","Borrowers may use 2019 or 2020 docs, cannot mix &amp; match!",""))</f>
        <v/>
      </c>
      <c r="I13" s="236"/>
      <c r="J13" s="236"/>
      <c r="K13" s="236"/>
      <c r="L13" s="236"/>
      <c r="M13" s="236"/>
      <c r="N13" s="237"/>
    </row>
    <row r="14" spans="1:18" ht="15.75" thickBot="1" x14ac:dyDescent="0.3">
      <c r="A14" s="55" t="s">
        <v>113</v>
      </c>
      <c r="B14" s="35"/>
      <c r="C14" s="35"/>
      <c r="D14" s="245"/>
      <c r="E14" s="245"/>
      <c r="F14" s="248"/>
      <c r="H14" s="56" t="s">
        <v>113</v>
      </c>
      <c r="I14" s="35"/>
      <c r="J14" s="35"/>
      <c r="K14" s="35"/>
      <c r="L14" s="233"/>
      <c r="M14" s="233"/>
      <c r="N14" s="234"/>
      <c r="O14"/>
      <c r="P14"/>
    </row>
    <row r="15" spans="1:18" ht="16.5" thickBot="1" x14ac:dyDescent="0.3">
      <c r="A15" s="55" t="s">
        <v>121</v>
      </c>
      <c r="B15" s="35"/>
      <c r="C15" s="35"/>
      <c r="D15" s="35"/>
      <c r="E15" s="129">
        <v>2020</v>
      </c>
      <c r="F15" s="130">
        <v>2019</v>
      </c>
      <c r="H15" s="56" t="s">
        <v>271</v>
      </c>
      <c r="I15" s="35"/>
      <c r="J15" s="35"/>
      <c r="K15" s="52"/>
      <c r="L15" s="268" t="str">
        <f>IF(L14='Data Validation'!S26,"1040 Sched C",IF('Underwriting Worksheet'!L14='Data Validation'!S27,"1040 Sched C/941s",IF('Underwriting Worksheet'!L14='Data Validation'!S28,"1040 Sched F",IF('Underwriting Worksheet'!L14='Data Validation'!S30,"Form 1065 &amp; K-1 / 941s",IF('Underwriting Worksheet'!L14='Data Validation'!S31,"1120-S/1120/941s",IF('Underwriting Worksheet'!L14='Data Validation'!S32,"990/990-EZ/941",IF('Underwriting Worksheet'!L14='Data Validation'!S33,"941s",IF('Underwriting Worksheet'!L14='Data Validation'!S34,"Select Entity Filing Status",IF(L14='Data Validation'!S29,'Data Validation'!T29,"")))))))))</f>
        <v/>
      </c>
      <c r="M15" s="268"/>
      <c r="N15" s="269"/>
      <c r="O15"/>
      <c r="P15"/>
    </row>
    <row r="16" spans="1:18" ht="15.75" thickBot="1" x14ac:dyDescent="0.3">
      <c r="A16" s="57"/>
      <c r="B16" s="35"/>
      <c r="C16" s="222" t="str">
        <f>IF(D12='Data Validation'!X12,"Sum of Deposits:",IF(D12='Data Validation'!X13,"Gross Receipts:",IF(AND(D12="Tax Forms",D14='Data Validation'!S2),'Data Validation'!T2,IF(AND('Underwriting Worksheet'!D12="Tax Forms",'Underwriting Worksheet'!D14='Data Validation'!S3),'Data Validation'!T3,IF(AND('Underwriting Worksheet'!D12="Tax Forms",'Underwriting Worksheet'!D14='Data Validation'!S4),'Data Validation'!T4,IF(AND('Underwriting Worksheet'!D12="Tax Forms",'Underwriting Worksheet'!D14='Data Validation'!S5),'Data Validation'!T5,IF(AND('Underwriting Worksheet'!D12="Tax Forms",'Underwriting Worksheet'!D14='Data Validation'!S6),'Data Validation'!T6,IF(AND('Underwriting Worksheet'!D12="Tax Forms",'Underwriting Worksheet'!D14='Data Validation'!S7),'Data Validation'!T7,IF(AND('Underwriting Worksheet'!D12="Tax Forms",'Underwriting Worksheet'!D14='Data Validation'!S8),'Data Validation'!T8,IF(AND('Underwriting Worksheet'!D12="Tax Forms",'Underwriting Worksheet'!D14='Data Validation'!S9),'Data Validation'!T9,""))))))))))</f>
        <v/>
      </c>
      <c r="D16" s="222"/>
      <c r="E16" s="63"/>
      <c r="F16" s="67"/>
      <c r="H16" s="55" t="str">
        <f>IF(K15="Yes","4. How many months?","")</f>
        <v/>
      </c>
      <c r="I16" s="35"/>
      <c r="J16" s="35"/>
      <c r="K16" s="53"/>
      <c r="L16" s="270"/>
      <c r="M16" s="270"/>
      <c r="N16" s="271"/>
      <c r="O16"/>
      <c r="P16"/>
    </row>
    <row r="17" spans="1:16" ht="15.75" x14ac:dyDescent="0.25">
      <c r="A17" s="57"/>
      <c r="B17" s="35"/>
      <c r="C17" s="222" t="str">
        <f>IF(AND(D12="Tax Forms",D14='Data Validation'!S2),'Data Validation'!U2,IF(AND('Underwriting Worksheet'!D12="Tax Forms",'Underwriting Worksheet'!D14='Data Validation'!S3),'Data Validation'!U3,IF(AND('Underwriting Worksheet'!D12="Tax Forms",'Underwriting Worksheet'!D14='Data Validation'!S4),'Data Validation'!U4,IF(AND('Underwriting Worksheet'!D12="Tax Forms",'Underwriting Worksheet'!D14='Data Validation'!S5),'Data Validation'!U5,IF(AND('Underwriting Worksheet'!D12="Tax Forms",'Underwriting Worksheet'!D14='Data Validation'!S6),'Data Validation'!U6,IF(AND('Underwriting Worksheet'!D12="Tax Forms",'Underwriting Worksheet'!D14='Data Validation'!S7),'Data Validation'!U7,IF(AND('Underwriting Worksheet'!D12="Tax Forms",'Underwriting Worksheet'!D14='Data Validation'!S8),'Data Validation'!U8,"")))))))</f>
        <v/>
      </c>
      <c r="D17" s="222"/>
      <c r="E17" s="64"/>
      <c r="F17" s="68"/>
      <c r="H17" s="55" t="str">
        <f>IFERROR(VLOOKUP($L$14,'Data Validation'!$S$26:$AC$33,3,FALSE),"")</f>
        <v/>
      </c>
      <c r="I17" s="35"/>
      <c r="J17" s="35"/>
      <c r="K17" s="35"/>
      <c r="L17" s="38" t="str">
        <f>IF($L$12='Data Validation'!$T$11,'Data Validation'!U11,"")</f>
        <v/>
      </c>
      <c r="M17" s="246"/>
      <c r="N17" s="247"/>
      <c r="O17" s="93" t="str">
        <f>IF(L15="Form 1065 &amp; K-1 / 941s","Per partner compensation cannot be over $100k, reduce to $100k if over","")</f>
        <v/>
      </c>
      <c r="P17"/>
    </row>
    <row r="18" spans="1:16" ht="15.75" x14ac:dyDescent="0.25">
      <c r="A18" s="57"/>
      <c r="B18" s="35"/>
      <c r="C18" s="222" t="str">
        <f>IF(AND('Underwriting Worksheet'!D12="Tax Forms",'Underwriting Worksheet'!D14='Data Validation'!S4),'Data Validation'!V4,IF(AND('Underwriting Worksheet'!D12="Tax Forms",'Underwriting Worksheet'!D14='Data Validation'!S5),'Data Validation'!V5,IF(AND('Underwriting Worksheet'!D12="Tax Forms",'Underwriting Worksheet'!D14='Data Validation'!S6),'Data Validation'!V6,IF(AND('Underwriting Worksheet'!D12="Tax Forms",'Underwriting Worksheet'!D14='Data Validation'!S7),'Data Validation'!V7,IF(AND('Underwriting Worksheet'!D12="Tax Forms",'Underwriting Worksheet'!D14='Data Validation'!S8),'Data Validation'!V8,"")))))</f>
        <v/>
      </c>
      <c r="D18" s="222"/>
      <c r="E18" s="64"/>
      <c r="F18" s="68"/>
      <c r="H18" s="55" t="str">
        <f>IFERROR(VLOOKUP($L$14,'Data Validation'!$S$26:$AC$33,4,FALSE),"")</f>
        <v/>
      </c>
      <c r="I18" s="39"/>
      <c r="J18" s="39"/>
      <c r="K18" s="35"/>
      <c r="L18" s="38" t="str">
        <f>IF($L$12='Data Validation'!$T$11,'Data Validation'!U12,"")</f>
        <v/>
      </c>
      <c r="M18" s="229"/>
      <c r="N18" s="230"/>
      <c r="O18" s="93" t="str">
        <f>IF(L15="Form 1065 &amp; K-1 / 941s","Partnership compensation is multiplied by 0.9235","")</f>
        <v/>
      </c>
      <c r="P18"/>
    </row>
    <row r="19" spans="1:16" x14ac:dyDescent="0.25">
      <c r="A19" s="57"/>
      <c r="B19" s="35"/>
      <c r="C19" s="222" t="str">
        <f>IF(AND('Underwriting Worksheet'!D12="Tax Forms",'Underwriting Worksheet'!D14='Data Validation'!S6),'Data Validation'!W6,IF(AND('Underwriting Worksheet'!D12="Tax Forms",'Underwriting Worksheet'!D14='Data Validation'!S7),'Data Validation'!W7,IF(AND('Underwriting Worksheet'!D12="Tax Forms",'Underwriting Worksheet'!D14='Data Validation'!S8),'Data Validation'!W8,"")))</f>
        <v/>
      </c>
      <c r="D19" s="222"/>
      <c r="E19" s="64"/>
      <c r="F19" s="68"/>
      <c r="H19" s="55" t="str">
        <f>IFERROR(VLOOKUP($L$14,'Data Validation'!$S$26:$AC$33,5,FALSE),"")</f>
        <v/>
      </c>
      <c r="I19" s="35"/>
      <c r="J19" s="35"/>
      <c r="K19" s="35"/>
      <c r="L19" s="38" t="str">
        <f>IF($L$12='Data Validation'!$T$11,'Data Validation'!U13,"")</f>
        <v/>
      </c>
      <c r="M19" s="229"/>
      <c r="N19" s="230"/>
      <c r="O19"/>
      <c r="P19"/>
    </row>
    <row r="20" spans="1:16" ht="15.75" x14ac:dyDescent="0.25">
      <c r="A20" s="57"/>
      <c r="B20" s="35"/>
      <c r="C20" s="222" t="str">
        <f>IF(AND('Underwriting Worksheet'!D12="Tax Forms",'Underwriting Worksheet'!D14='Data Validation'!S7),'Data Validation'!X7,"")</f>
        <v/>
      </c>
      <c r="D20" s="222"/>
      <c r="E20" s="64"/>
      <c r="F20" s="68"/>
      <c r="H20" s="55" t="str">
        <f>IFERROR(VLOOKUP($L$14,'Data Validation'!$S$26:$AC$33,6,FALSE),"")</f>
        <v/>
      </c>
      <c r="I20" s="35"/>
      <c r="J20" s="35"/>
      <c r="K20" s="35"/>
      <c r="L20" s="38" t="str">
        <f>IF($L$12='Data Validation'!$T$11,'Data Validation'!U14,"")</f>
        <v/>
      </c>
      <c r="M20" s="229"/>
      <c r="N20" s="230"/>
      <c r="O20" s="139" t="str">
        <f>IF(AND(NOT(ISBLANK(M17)),L15="1040 Sched C/941s",M17-M18-M19-M20&lt;=0),"Not Eligible for PPP Loan!","")</f>
        <v/>
      </c>
    </row>
    <row r="21" spans="1:16" x14ac:dyDescent="0.25">
      <c r="A21" s="57"/>
      <c r="B21" s="35"/>
      <c r="C21" s="222" t="str">
        <f>IF(AND('Underwriting Worksheet'!D12="Tax Forms",'Underwriting Worksheet'!D14='Data Validation'!S7),'Data Validation'!Y7,"")</f>
        <v/>
      </c>
      <c r="D21" s="222"/>
      <c r="E21" s="64"/>
      <c r="F21" s="68"/>
      <c r="H21" s="55" t="str">
        <f>IFERROR(VLOOKUP($L$14,'Data Validation'!$S$26:$AC$33,7,FALSE),"")</f>
        <v/>
      </c>
      <c r="I21" s="35"/>
      <c r="J21" s="35"/>
      <c r="K21" s="35"/>
      <c r="L21" s="38" t="str">
        <f>IF($L$12='Data Validation'!$T$11,'Data Validation'!U15,"")</f>
        <v/>
      </c>
      <c r="M21" s="229"/>
      <c r="N21" s="230"/>
    </row>
    <row r="22" spans="1:16" x14ac:dyDescent="0.25">
      <c r="A22" s="57"/>
      <c r="B22" s="35"/>
      <c r="C22" s="222" t="str">
        <f>IF(AND('Underwriting Worksheet'!D12="Tax Forms",'Underwriting Worksheet'!D14='Data Validation'!S7),'Data Validation'!Z7,"")</f>
        <v/>
      </c>
      <c r="D22" s="222"/>
      <c r="E22" s="64"/>
      <c r="F22" s="69"/>
      <c r="H22" s="55" t="str">
        <f>IFERROR(VLOOKUP($L$14,'Data Validation'!$S$26:$AC$33,8,FALSE),"")</f>
        <v/>
      </c>
      <c r="I22" s="35"/>
      <c r="J22" s="35"/>
      <c r="K22" s="35"/>
      <c r="L22" s="38" t="str">
        <f>IF($L$12='Data Validation'!$T$11,'Data Validation'!U16,"")</f>
        <v/>
      </c>
      <c r="M22" s="229"/>
      <c r="N22" s="230"/>
    </row>
    <row r="23" spans="1:16" ht="15.75" thickBot="1" x14ac:dyDescent="0.3">
      <c r="A23" s="57"/>
      <c r="B23" s="35"/>
      <c r="C23" s="222" t="str">
        <f>IF(AND('Underwriting Worksheet'!D12="Tax Forms",'Underwriting Worksheet'!D14='Data Validation'!S7),'Data Validation'!AA7,"")</f>
        <v/>
      </c>
      <c r="D23" s="222"/>
      <c r="E23" s="65"/>
      <c r="F23" s="70"/>
      <c r="H23" s="55" t="str">
        <f>IFERROR(VLOOKUP($L$14,'Data Validation'!$S$26:$AC$33,9,FALSE),"")</f>
        <v/>
      </c>
      <c r="I23" s="35"/>
      <c r="J23" s="35"/>
      <c r="K23" s="35"/>
      <c r="L23" s="35"/>
      <c r="M23" s="273"/>
      <c r="N23" s="274"/>
    </row>
    <row r="24" spans="1:16" ht="16.5" thickBot="1" x14ac:dyDescent="0.3">
      <c r="A24" s="57"/>
      <c r="B24" s="35"/>
      <c r="C24" s="277" t="s">
        <v>109</v>
      </c>
      <c r="D24" s="278"/>
      <c r="E24" s="62" t="str">
        <f>IF(OR(D12="BANK STATEMENTS",D12="FINANCIAL STATEMENTS"),E16,IF(AND(D12='Data Validation'!X14,D14='Data Validation'!S2),SUM('Underwriting Worksheet'!E16:E17),IF(AND('Underwriting Worksheet'!D12='Data Validation'!X14,'Underwriting Worksheet'!D14='Data Validation'!S3),SUM('Underwriting Worksheet'!E16:E17), IF(AND(D12="TAX FORMS",D14='Data Validation'!S4),SUM('Underwriting Worksheet'!E16:E17)-'Underwriting Worksheet'!E18,IF(AND('Underwriting Worksheet'!D12="TAX FORMS",'Underwriting Worksheet'!D14='Data Validation'!S5),SUM('Underwriting Worksheet'!E16:E17)-'Underwriting Worksheet'!E18,IF(AND('Underwriting Worksheet'!D12="TAX FORMS",'Underwriting Worksheet'!D14='Data Validation'!S6),SUM('Underwriting Worksheet'!E16:E17)-SUM('Underwriting Worksheet'!E18:E19),IF(AND('Underwriting Worksheet'!D12="TAX FORMS",'Underwriting Worksheet'!D14='Data Validation'!S7),SUM('Underwriting Worksheet'!E16:E23),IF(AND('Underwriting Worksheet'!D12="TAX FORMS",'Underwriting Worksheet'!D14='Data Validation'!S8),SUM('Underwriting Worksheet'!E16:E19),""))))))))</f>
        <v/>
      </c>
      <c r="F24" s="66" t="str">
        <f>IF(OR(D12="BANK STATEMENTS",D12="FINANCIAL STATEMENTS"),F16,IF(AND(D12='Data Validation'!X14,D14='Data Validation'!S2),SUM('Underwriting Worksheet'!F16:F17),IF(AND('Underwriting Worksheet'!D12='Data Validation'!X14,'Underwriting Worksheet'!D14='Data Validation'!S3),SUM('Underwriting Worksheet'!F16:F17), IF(AND(D12="TAX FORMS",D14='Data Validation'!S4),SUM('Underwriting Worksheet'!F16:F17)-'Underwriting Worksheet'!F18,IF(AND('Underwriting Worksheet'!D12="TAX FORMS",'Underwriting Worksheet'!D14='Data Validation'!S5),SUM('Underwriting Worksheet'!F16:F17)-'Underwriting Worksheet'!F18,IF(AND('Underwriting Worksheet'!D12="TAX FORMS",'Underwriting Worksheet'!D14='Data Validation'!S6),SUM('Underwriting Worksheet'!F16:F17)-SUM('Underwriting Worksheet'!F18:F19),IF(AND('Underwriting Worksheet'!D12="TAX FORMS",'Underwriting Worksheet'!D14='Data Validation'!S7),SUM('Underwriting Worksheet'!F16:F23),IF(AND('Underwriting Worksheet'!D12="TAX FORMS",'Underwriting Worksheet'!D14='Data Validation'!S8),SUM('Underwriting Worksheet'!F16:F19),""))))))))</f>
        <v/>
      </c>
      <c r="H24" s="56" t="s">
        <v>272</v>
      </c>
      <c r="I24" s="115"/>
      <c r="J24"/>
      <c r="L24" s="143" t="s">
        <v>184</v>
      </c>
      <c r="M24" s="275" t="str">
        <f>IF(L12='Data Validation'!T11,SUM(M17:N21)-M22,IF(AND(L12="Tax Forms",'Underwriting Worksheet'!L15='Data Validation'!T26),'Underwriting Worksheet'!M17,IF(AND('Underwriting Worksheet'!L12="Tax Forms",'Underwriting Worksheet'!L15='Data Validation'!T27,M17-M18-M19-M20&gt;100000),100000+M21,IF(AND('Underwriting Worksheet'!L12="Tax Forms",'Underwriting Worksheet'!L15='Data Validation'!T27,M17-M18-M19-M20&lt;=100000),M17-M18-M19-M20+M21,IF(AND(L12="Tax Forms",L15='Data Validation'!T28),'Underwriting Worksheet'!M17,IF(AND('Underwriting Worksheet'!L12="Tax Forms",'Underwriting Worksheet'!L15='Data Validation'!T30),(M17*0.9235)+M18+M19-M20+M21+M22+M23,IF(AND(L12="Tax Forms",L15='Data Validation'!T31),SUM('Underwriting Worksheet'!M17:N18,'Underwriting Worksheet'!M20:N22)-'Underwriting Worksheet'!M19,IF(AND(L12="Tax Forms",L15='Data Validation'!T32),SUM('Underwriting Worksheet'!M17:N18,'Underwriting Worksheet'!M20:N22)-'Underwriting Worksheet'!M19,IF(AND('Underwriting Worksheet'!L12="Tax Forms",'Underwriting Worksheet'!L15='Data Validation'!T33),SUM(M17:N18,M20:N22)-M19,"")))))))))</f>
        <v/>
      </c>
      <c r="N24" s="276"/>
    </row>
    <row r="25" spans="1:16" ht="16.5" thickBot="1" x14ac:dyDescent="0.3">
      <c r="A25" s="57"/>
      <c r="B25" s="35"/>
      <c r="C25" s="277" t="s">
        <v>110</v>
      </c>
      <c r="D25" s="278"/>
      <c r="E25" s="117" t="str">
        <f>(IFERROR(ROUNDDOWN((E24-F24)/F24,2),""))</f>
        <v/>
      </c>
      <c r="F25" s="36"/>
      <c r="H25" s="141" t="str">
        <f>IF(I24="Yes","On Tax Return?","")</f>
        <v/>
      </c>
      <c r="I25" s="138"/>
      <c r="J25" s="140"/>
      <c r="N25" s="125"/>
    </row>
    <row r="26" spans="1:16" x14ac:dyDescent="0.25">
      <c r="A26"/>
      <c r="B26"/>
      <c r="C26"/>
      <c r="D26"/>
      <c r="E26"/>
      <c r="F26" s="122"/>
      <c r="H26" s="57"/>
      <c r="I26" s="272" t="s">
        <v>186</v>
      </c>
      <c r="J26" s="272"/>
      <c r="K26" s="272"/>
      <c r="L26" s="272"/>
      <c r="M26" s="279" t="s">
        <v>245</v>
      </c>
      <c r="N26" s="280"/>
      <c r="O26" s="142"/>
    </row>
    <row r="27" spans="1:16" ht="14.45" customHeight="1" x14ac:dyDescent="0.25">
      <c r="A27" s="59"/>
      <c r="B27" s="60"/>
      <c r="C27" s="60"/>
      <c r="D27" s="60"/>
      <c r="E27" s="60"/>
      <c r="F27" s="61"/>
      <c r="H27" s="57"/>
      <c r="I27" s="281" t="str">
        <f>IFERROR(IF(AND(I24="Yes",K15="Yes"),(M24/K16*3.5),IF(AND(I24="No",K15="Yes"),(M24/K16*2.5),IF(AND(I24="Yes",K15="No"),(M24/12*3.5),IF(AND(K15="No",I24="No"),M24/12*2.5,"")))),"")</f>
        <v/>
      </c>
      <c r="J27" s="282"/>
      <c r="K27" s="282"/>
      <c r="L27" s="283"/>
      <c r="M27" s="287" t="str">
        <f>IFERROR(IF(I24="No",ROUNDDOWN(I27/2.5,-2),ROUNDDOWN(I27/3.5,-2)),"")</f>
        <v/>
      </c>
      <c r="N27" s="288"/>
    </row>
    <row r="28" spans="1:16" ht="14.45" customHeight="1" x14ac:dyDescent="0.25">
      <c r="H28" s="57"/>
      <c r="I28" s="284"/>
      <c r="J28" s="285"/>
      <c r="K28" s="285"/>
      <c r="L28" s="286"/>
      <c r="M28" s="289"/>
      <c r="N28" s="290"/>
    </row>
    <row r="29" spans="1:16" ht="14.45" customHeight="1" x14ac:dyDescent="0.25">
      <c r="H29" s="57"/>
      <c r="I29" s="291" t="str">
        <f>IF(AND(I27&gt;2000000,I27&lt;&gt;""),"Cannot Exceed $2MM, Set to $2MM","")</f>
        <v/>
      </c>
      <c r="J29" s="291"/>
      <c r="K29" s="291"/>
      <c r="L29" s="291"/>
      <c r="M29" s="293" t="str">
        <f>IF(AND(I27&gt;2000000,I24="No"),800000,IF(AND(I27&gt;2000000,I24="Yes"),571428,""))</f>
        <v/>
      </c>
      <c r="N29" s="294"/>
    </row>
    <row r="30" spans="1:16" ht="14.45" customHeight="1" x14ac:dyDescent="0.25">
      <c r="H30" s="58"/>
      <c r="I30" s="292"/>
      <c r="J30" s="292"/>
      <c r="K30" s="292"/>
      <c r="L30" s="292"/>
      <c r="M30" s="295"/>
      <c r="N30" s="296"/>
    </row>
  </sheetData>
  <sheetProtection algorithmName="SHA-512" hashValue="BHMLlmli+ceGGppztTNy5PR4HAO+V76RpT7k6I4ufqNBw9AP6NZNIQJ4TWPLw+3S7e8VvQQe3DtpJZ0l6osN8A==" saltValue="jMAScNhsGk4UQ81J9PRCyQ==" spinCount="100000" sheet="1" formatCells="0" formatColumns="0" formatRows="0" insertColumns="0" insertRows="0" insertHyperlinks="0" deleteColumns="0" deleteRows="0" sort="0" autoFilter="0" pivotTables="0"/>
  <mergeCells count="50">
    <mergeCell ref="I27:L28"/>
    <mergeCell ref="M27:N28"/>
    <mergeCell ref="I29:L30"/>
    <mergeCell ref="M29:N30"/>
    <mergeCell ref="I6:J6"/>
    <mergeCell ref="M20:N20"/>
    <mergeCell ref="C19:D19"/>
    <mergeCell ref="L15:N16"/>
    <mergeCell ref="I26:L26"/>
    <mergeCell ref="M22:N22"/>
    <mergeCell ref="M23:N23"/>
    <mergeCell ref="M24:N24"/>
    <mergeCell ref="C24:D24"/>
    <mergeCell ref="C25:D25"/>
    <mergeCell ref="M26:N26"/>
    <mergeCell ref="C20:D20"/>
    <mergeCell ref="C21:D21"/>
    <mergeCell ref="C23:D23"/>
    <mergeCell ref="C22:D22"/>
    <mergeCell ref="C17:D17"/>
    <mergeCell ref="M21:N21"/>
    <mergeCell ref="M19:N19"/>
    <mergeCell ref="A1:N2"/>
    <mergeCell ref="D4:E4"/>
    <mergeCell ref="D5:E5"/>
    <mergeCell ref="A13:E13"/>
    <mergeCell ref="D12:E12"/>
    <mergeCell ref="D6:E6"/>
    <mergeCell ref="H3:N3"/>
    <mergeCell ref="A3:F3"/>
    <mergeCell ref="L12:M12"/>
    <mergeCell ref="A11:F11"/>
    <mergeCell ref="D7:E7"/>
    <mergeCell ref="I4:K4"/>
    <mergeCell ref="I5:J5"/>
    <mergeCell ref="C18:D18"/>
    <mergeCell ref="M18:N18"/>
    <mergeCell ref="L9:M9"/>
    <mergeCell ref="L8:M8"/>
    <mergeCell ref="L14:N14"/>
    <mergeCell ref="H13:N13"/>
    <mergeCell ref="H11:N11"/>
    <mergeCell ref="C8:F8"/>
    <mergeCell ref="H9:K9"/>
    <mergeCell ref="A9:C10"/>
    <mergeCell ref="H8:K8"/>
    <mergeCell ref="D14:E14"/>
    <mergeCell ref="M17:N17"/>
    <mergeCell ref="F13:F14"/>
    <mergeCell ref="C16:D16"/>
  </mergeCells>
  <conditionalFormatting sqref="D14 L12">
    <cfRule type="containsBlanks" dxfId="10" priority="28">
      <formula>LEN(TRIM(D12))=0</formula>
    </cfRule>
  </conditionalFormatting>
  <conditionalFormatting sqref="L14">
    <cfRule type="containsBlanks" dxfId="9" priority="30">
      <formula>LEN(TRIM(L14))=0</formula>
    </cfRule>
  </conditionalFormatting>
  <conditionalFormatting sqref="O4">
    <cfRule type="containsBlanks" dxfId="8" priority="22">
      <formula>LEN(TRIM(O4))=0</formula>
    </cfRule>
  </conditionalFormatting>
  <conditionalFormatting sqref="D12">
    <cfRule type="containsBlanks" dxfId="7" priority="29">
      <formula>LEN(TRIM(D12))=0</formula>
    </cfRule>
  </conditionalFormatting>
  <conditionalFormatting sqref="E16:E23">
    <cfRule type="expression" dxfId="6" priority="12">
      <formula>LEN(C16:C23)=0</formula>
    </cfRule>
  </conditionalFormatting>
  <conditionalFormatting sqref="F16:F23">
    <cfRule type="expression" dxfId="5" priority="11">
      <formula>LEN(C16:C23)=0</formula>
    </cfRule>
  </conditionalFormatting>
  <conditionalFormatting sqref="K15">
    <cfRule type="containsBlanks" dxfId="4" priority="27">
      <formula>LEN(TRIM(K15))=0</formula>
    </cfRule>
  </conditionalFormatting>
  <conditionalFormatting sqref="K16">
    <cfRule type="expression" dxfId="3" priority="7">
      <formula>LEN(H16)=0</formula>
    </cfRule>
  </conditionalFormatting>
  <conditionalFormatting sqref="I24">
    <cfRule type="containsBlanks" dxfId="2" priority="26">
      <formula>LEN(TRIM(I24))=0</formula>
    </cfRule>
  </conditionalFormatting>
  <conditionalFormatting sqref="H14">
    <cfRule type="expression" dxfId="1" priority="2">
      <formula>"K12=Tax Forms"</formula>
    </cfRule>
  </conditionalFormatting>
  <conditionalFormatting sqref="I25">
    <cfRule type="expression" dxfId="0" priority="1">
      <formula>$I$25=""</formula>
    </cfRule>
  </conditionalFormatting>
  <hyperlinks>
    <hyperlink ref="O2" r:id="rId1" xr:uid="{BDE3467F-D07C-45D5-8DBA-0F8461B762D8}"/>
  </hyperlinks>
  <pageMargins left="0.7" right="0.7" top="0.75" bottom="0.75" header="0.3" footer="0.3"/>
  <pageSetup orientation="portrait"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13EA3D5D-0C4D-450C-A3A7-3D6DA5140BD5}">
          <x14:formula1>
            <xm:f>'Data Validation'!$S$2:$S$9</xm:f>
          </x14:formula1>
          <xm:sqref>D14</xm:sqref>
        </x14:dataValidation>
        <x14:dataValidation type="list" allowBlank="1" showInputMessage="1" showErrorMessage="1" xr:uid="{6A5D5700-F799-4ABE-9376-837BA28F1136}">
          <x14:formula1>
            <xm:f>'Data Validation'!$Z$9:$Z$16</xm:f>
          </x14:formula1>
          <xm:sqref>O4</xm:sqref>
        </x14:dataValidation>
        <x14:dataValidation type="list" allowBlank="1" showInputMessage="1" showErrorMessage="1" xr:uid="{AC88F34D-4CDF-4B89-B816-67464A059A59}">
          <x14:formula1>
            <xm:f>'Data Validation'!$X$12:$X$14</xm:f>
          </x14:formula1>
          <xm:sqref>D12</xm:sqref>
        </x14:dataValidation>
        <x14:dataValidation type="list" allowBlank="1" showInputMessage="1" showErrorMessage="1" xr:uid="{5A74B498-38D2-4170-A3DD-27EAFBE800E9}">
          <x14:formula1>
            <xm:f>'Data Validation'!$S$26:$S$34</xm:f>
          </x14:formula1>
          <xm:sqref>L14</xm:sqref>
        </x14:dataValidation>
        <x14:dataValidation type="list" allowBlank="1" showInputMessage="1" showErrorMessage="1" xr:uid="{C57879CB-E651-4049-8C6E-E2E39D6A5FE8}">
          <x14:formula1>
            <xm:f>'Data Validation'!$B$1:$B$2</xm:f>
          </x14:formula1>
          <xm:sqref>K15 I24</xm:sqref>
        </x14:dataValidation>
        <x14:dataValidation type="list" allowBlank="1" showInputMessage="1" showErrorMessage="1" xr:uid="{66085CC9-4BB0-41F6-B520-9F10F3917BC9}">
          <x14:formula1>
            <xm:f>'Data Validation'!$S$22:$S$23</xm:f>
          </x14:formula1>
          <xm:sqref>L12</xm:sqref>
        </x14:dataValidation>
        <x14:dataValidation type="list" allowBlank="1" showInputMessage="1" showErrorMessage="1" xr:uid="{1EF85591-B6BB-4940-A43A-DB8C4224AB5D}">
          <x14:formula1>
            <xm:f>'Data Validation'!$G$1:$G$2</xm:f>
          </x14:formula1>
          <xm:sqref>I25</xm:sqref>
        </x14:dataValidation>
        <x14:dataValidation type="list" allowBlank="1" showInputMessage="1" showErrorMessage="1" xr:uid="{F951EB16-3291-403B-98D4-8E70F55001B0}">
          <x14:formula1>
            <xm:f>'Data Validation'!$AJ$19:$AJ$22</xm:f>
          </x14:formula1>
          <xm:sqref>L8:M8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87033-EB61-4D32-86DA-2270B09F2011}">
  <dimension ref="A1:AK34"/>
  <sheetViews>
    <sheetView topLeftCell="G1" workbookViewId="0">
      <selection activeCell="R20" sqref="R20"/>
    </sheetView>
  </sheetViews>
  <sheetFormatPr defaultColWidth="8.85546875" defaultRowHeight="15" x14ac:dyDescent="0.25"/>
  <cols>
    <col min="1" max="19" width="8.85546875" style="77"/>
    <col min="20" max="20" width="15.5703125" style="77" customWidth="1"/>
    <col min="21" max="21" width="17.140625" style="77" customWidth="1"/>
    <col min="22" max="22" width="18.7109375" style="77" customWidth="1"/>
    <col min="23" max="16384" width="8.85546875" style="77"/>
  </cols>
  <sheetData>
    <row r="1" spans="1:34" x14ac:dyDescent="0.25">
      <c r="B1" s="77" t="s">
        <v>30</v>
      </c>
      <c r="C1" s="77" t="s">
        <v>51</v>
      </c>
      <c r="G1" s="77" t="s">
        <v>30</v>
      </c>
      <c r="S1" s="298" t="s">
        <v>89</v>
      </c>
      <c r="T1" s="299"/>
      <c r="U1" s="299"/>
      <c r="V1" s="78"/>
      <c r="W1" s="78"/>
      <c r="X1" s="78"/>
      <c r="Y1" s="78"/>
      <c r="Z1" s="78"/>
      <c r="AA1" s="79"/>
    </row>
    <row r="2" spans="1:34" x14ac:dyDescent="0.25">
      <c r="B2" s="77" t="s">
        <v>31</v>
      </c>
      <c r="C2" s="77" t="s">
        <v>52</v>
      </c>
      <c r="G2" s="77" t="s">
        <v>31</v>
      </c>
      <c r="S2" s="80" t="s">
        <v>90</v>
      </c>
      <c r="T2" s="81" t="s">
        <v>129</v>
      </c>
      <c r="U2" s="81" t="s">
        <v>135</v>
      </c>
      <c r="V2" s="81"/>
      <c r="W2" s="81"/>
      <c r="X2" s="81"/>
      <c r="Y2" s="81"/>
      <c r="Z2" s="81"/>
      <c r="AA2" s="82"/>
    </row>
    <row r="3" spans="1:34" x14ac:dyDescent="0.25">
      <c r="B3" s="77" t="s">
        <v>36</v>
      </c>
      <c r="G3" s="77" t="s">
        <v>211</v>
      </c>
      <c r="S3" s="80" t="s">
        <v>91</v>
      </c>
      <c r="T3" s="81" t="s">
        <v>130</v>
      </c>
      <c r="U3" s="81" t="s">
        <v>136</v>
      </c>
      <c r="V3" s="81"/>
      <c r="W3" s="81"/>
      <c r="X3" s="81"/>
      <c r="Y3" s="81"/>
      <c r="Z3" s="81"/>
      <c r="AA3" s="82"/>
    </row>
    <row r="4" spans="1:34" x14ac:dyDescent="0.25">
      <c r="S4" s="80" t="s">
        <v>92</v>
      </c>
      <c r="T4" s="81" t="s">
        <v>131</v>
      </c>
      <c r="U4" s="81" t="s">
        <v>137</v>
      </c>
      <c r="V4" s="81" t="s">
        <v>138</v>
      </c>
      <c r="W4" s="81"/>
      <c r="X4" s="81"/>
      <c r="Y4" s="81"/>
      <c r="Z4" s="81"/>
      <c r="AA4" s="82"/>
    </row>
    <row r="5" spans="1:34" x14ac:dyDescent="0.25">
      <c r="A5" s="77" t="s">
        <v>53</v>
      </c>
      <c r="B5" s="77" t="s">
        <v>56</v>
      </c>
      <c r="C5" s="77" t="s">
        <v>37</v>
      </c>
      <c r="D5" s="77" t="s">
        <v>38</v>
      </c>
      <c r="E5" s="77" t="s">
        <v>39</v>
      </c>
      <c r="F5" s="77" t="s">
        <v>40</v>
      </c>
      <c r="G5" s="77" t="s">
        <v>41</v>
      </c>
      <c r="H5" s="77" t="s">
        <v>42</v>
      </c>
      <c r="I5" s="77" t="s">
        <v>43</v>
      </c>
      <c r="S5" s="80" t="s">
        <v>94</v>
      </c>
      <c r="T5" s="81" t="s">
        <v>131</v>
      </c>
      <c r="U5" s="81" t="s">
        <v>138</v>
      </c>
      <c r="V5" s="81" t="s">
        <v>129</v>
      </c>
      <c r="W5" s="81"/>
      <c r="X5" s="81"/>
      <c r="Y5" s="81"/>
      <c r="Z5" s="81"/>
      <c r="AA5" s="82"/>
    </row>
    <row r="6" spans="1:34" x14ac:dyDescent="0.25">
      <c r="A6" s="77" t="s">
        <v>54</v>
      </c>
      <c r="B6" s="77" t="s">
        <v>57</v>
      </c>
      <c r="C6" s="77" t="s">
        <v>44</v>
      </c>
      <c r="D6" s="77" t="s">
        <v>45</v>
      </c>
      <c r="E6" s="77" t="s">
        <v>46</v>
      </c>
      <c r="F6" s="77" t="s">
        <v>47</v>
      </c>
      <c r="G6" s="77" t="s">
        <v>48</v>
      </c>
      <c r="H6" s="77" t="s">
        <v>49</v>
      </c>
      <c r="S6" s="80" t="s">
        <v>93</v>
      </c>
      <c r="T6" s="81" t="s">
        <v>131</v>
      </c>
      <c r="U6" s="81" t="s">
        <v>139</v>
      </c>
      <c r="V6" s="81" t="s">
        <v>137</v>
      </c>
      <c r="W6" s="81" t="s">
        <v>136</v>
      </c>
      <c r="X6" s="81"/>
      <c r="Y6" s="81"/>
      <c r="Z6" s="81"/>
      <c r="AA6" s="82"/>
    </row>
    <row r="7" spans="1:34" x14ac:dyDescent="0.25">
      <c r="A7" s="77" t="s">
        <v>58</v>
      </c>
      <c r="B7" s="77" t="s">
        <v>59</v>
      </c>
      <c r="S7" s="80" t="s">
        <v>96</v>
      </c>
      <c r="T7" s="81" t="s">
        <v>132</v>
      </c>
      <c r="U7" s="81" t="s">
        <v>140</v>
      </c>
      <c r="V7" s="81" t="s">
        <v>141</v>
      </c>
      <c r="W7" s="81" t="s">
        <v>143</v>
      </c>
      <c r="X7" s="81" t="s">
        <v>144</v>
      </c>
      <c r="Y7" s="81" t="s">
        <v>145</v>
      </c>
      <c r="Z7" s="81" t="s">
        <v>146</v>
      </c>
      <c r="AA7" s="82" t="s">
        <v>147</v>
      </c>
    </row>
    <row r="8" spans="1:34" x14ac:dyDescent="0.25">
      <c r="A8" s="77" t="s">
        <v>68</v>
      </c>
      <c r="B8" s="77" t="s">
        <v>62</v>
      </c>
      <c r="C8" s="77" t="s">
        <v>65</v>
      </c>
      <c r="D8" s="77" t="s">
        <v>63</v>
      </c>
      <c r="E8" s="77" t="s">
        <v>66</v>
      </c>
      <c r="F8" s="77" t="s">
        <v>64</v>
      </c>
      <c r="G8" s="77" t="s">
        <v>67</v>
      </c>
      <c r="S8" s="80" t="s">
        <v>97</v>
      </c>
      <c r="T8" s="81" t="s">
        <v>133</v>
      </c>
      <c r="U8" s="81" t="s">
        <v>134</v>
      </c>
      <c r="V8" s="81" t="s">
        <v>142</v>
      </c>
      <c r="W8" s="81" t="s">
        <v>136</v>
      </c>
      <c r="X8" s="81"/>
      <c r="Y8" s="81"/>
      <c r="Z8" s="83"/>
      <c r="AA8" s="79"/>
      <c r="AB8" s="78"/>
      <c r="AC8" s="78"/>
      <c r="AD8" s="78"/>
      <c r="AE8" s="78"/>
      <c r="AF8" s="78"/>
      <c r="AG8" s="78"/>
      <c r="AH8" s="79"/>
    </row>
    <row r="9" spans="1:34" x14ac:dyDescent="0.25">
      <c r="A9" s="77" t="s">
        <v>70</v>
      </c>
      <c r="B9" s="77" t="s">
        <v>71</v>
      </c>
      <c r="C9" s="77" t="s">
        <v>72</v>
      </c>
      <c r="D9" s="77" t="s">
        <v>73</v>
      </c>
      <c r="E9" s="77" t="s">
        <v>74</v>
      </c>
      <c r="F9" s="77" t="s">
        <v>75</v>
      </c>
      <c r="G9" s="77" t="s">
        <v>76</v>
      </c>
      <c r="H9" s="77" t="s">
        <v>77</v>
      </c>
      <c r="I9" s="77" t="s">
        <v>78</v>
      </c>
      <c r="S9" s="84" t="s">
        <v>95</v>
      </c>
      <c r="T9" s="85" t="s">
        <v>98</v>
      </c>
      <c r="U9" s="85"/>
      <c r="V9" s="85"/>
      <c r="W9" s="85"/>
      <c r="X9" s="85"/>
      <c r="Y9" s="85"/>
      <c r="Z9" s="84" t="s">
        <v>53</v>
      </c>
      <c r="AA9" s="86"/>
      <c r="AB9" s="81"/>
      <c r="AC9" s="81"/>
      <c r="AD9" s="81"/>
      <c r="AE9" s="81"/>
      <c r="AF9" s="81"/>
      <c r="AG9" s="81"/>
      <c r="AH9" s="82"/>
    </row>
    <row r="10" spans="1:34" x14ac:dyDescent="0.25">
      <c r="A10" s="77" t="s">
        <v>79</v>
      </c>
      <c r="B10" s="77" t="s">
        <v>80</v>
      </c>
      <c r="C10" s="77" t="s">
        <v>81</v>
      </c>
      <c r="D10" s="77" t="s">
        <v>82</v>
      </c>
      <c r="E10" s="77" t="s">
        <v>83</v>
      </c>
      <c r="F10" s="77" t="s">
        <v>84</v>
      </c>
      <c r="G10" s="77" t="s">
        <v>85</v>
      </c>
      <c r="H10" s="77" t="s">
        <v>86</v>
      </c>
      <c r="I10" s="77" t="s">
        <v>87</v>
      </c>
      <c r="J10" s="77" t="s">
        <v>88</v>
      </c>
      <c r="Z10" s="80" t="s">
        <v>54</v>
      </c>
      <c r="AA10" s="81"/>
      <c r="AB10" s="81"/>
      <c r="AC10" s="81"/>
      <c r="AD10" s="81"/>
      <c r="AE10" s="81"/>
      <c r="AF10" s="81"/>
      <c r="AG10" s="81"/>
      <c r="AH10" s="82"/>
    </row>
    <row r="11" spans="1:34" x14ac:dyDescent="0.25">
      <c r="A11" s="77" t="s">
        <v>99</v>
      </c>
      <c r="B11" s="77" t="s">
        <v>100</v>
      </c>
      <c r="C11" s="77" t="s">
        <v>101</v>
      </c>
      <c r="E11" s="77" t="s">
        <v>102</v>
      </c>
      <c r="F11" s="77" t="s">
        <v>103</v>
      </c>
      <c r="G11" s="77" t="s">
        <v>104</v>
      </c>
      <c r="Q11" s="77" t="s">
        <v>237</v>
      </c>
      <c r="T11" s="83" t="s">
        <v>183</v>
      </c>
      <c r="U11" s="79" t="s">
        <v>180</v>
      </c>
      <c r="X11" s="83" t="s">
        <v>149</v>
      </c>
      <c r="Y11" s="79"/>
      <c r="Z11" s="80" t="s">
        <v>58</v>
      </c>
      <c r="AA11" s="81"/>
      <c r="AB11" s="81"/>
      <c r="AC11" s="81"/>
      <c r="AD11" s="81"/>
      <c r="AE11" s="81"/>
      <c r="AF11" s="81"/>
      <c r="AG11" s="81"/>
      <c r="AH11" s="82"/>
    </row>
    <row r="12" spans="1:34" x14ac:dyDescent="0.25">
      <c r="A12" s="77" t="s">
        <v>105</v>
      </c>
      <c r="B12" s="77" t="s">
        <v>106</v>
      </c>
      <c r="C12" s="77" t="s">
        <v>107</v>
      </c>
      <c r="D12" s="77" t="s">
        <v>108</v>
      </c>
      <c r="Q12" s="77" t="s">
        <v>241</v>
      </c>
      <c r="T12" s="80" t="s">
        <v>183</v>
      </c>
      <c r="U12" s="81" t="s">
        <v>178</v>
      </c>
      <c r="V12" s="87" t="s">
        <v>220</v>
      </c>
      <c r="X12" s="80" t="s">
        <v>152</v>
      </c>
      <c r="Y12" s="82"/>
      <c r="Z12" s="80" t="s">
        <v>68</v>
      </c>
      <c r="AA12" s="81"/>
      <c r="AB12" s="81"/>
      <c r="AC12" s="81"/>
      <c r="AD12" s="81"/>
      <c r="AE12" s="81"/>
      <c r="AF12" s="81"/>
      <c r="AG12" s="81"/>
      <c r="AH12" s="82"/>
    </row>
    <row r="13" spans="1:34" x14ac:dyDescent="0.25">
      <c r="Q13" s="77" t="s">
        <v>239</v>
      </c>
      <c r="T13" s="80" t="s">
        <v>183</v>
      </c>
      <c r="U13" s="81" t="s">
        <v>179</v>
      </c>
      <c r="V13" s="88" t="s">
        <v>212</v>
      </c>
      <c r="X13" s="80" t="s">
        <v>151</v>
      </c>
      <c r="Y13" s="82"/>
      <c r="Z13" s="80" t="s">
        <v>70</v>
      </c>
      <c r="AA13" s="81"/>
      <c r="AB13" s="81"/>
      <c r="AC13" s="81"/>
      <c r="AD13" s="81"/>
      <c r="AE13" s="81"/>
      <c r="AF13" s="81"/>
      <c r="AG13" s="81"/>
      <c r="AH13" s="82"/>
    </row>
    <row r="14" spans="1:34" x14ac:dyDescent="0.25">
      <c r="Q14" s="77" t="s">
        <v>238</v>
      </c>
      <c r="T14" s="80" t="s">
        <v>183</v>
      </c>
      <c r="U14" s="81" t="s">
        <v>181</v>
      </c>
      <c r="V14" s="88" t="s">
        <v>213</v>
      </c>
      <c r="X14" s="84" t="s">
        <v>150</v>
      </c>
      <c r="Y14" s="86"/>
      <c r="Z14" s="80" t="s">
        <v>79</v>
      </c>
      <c r="AA14" s="81"/>
      <c r="AB14" s="81"/>
      <c r="AC14" s="81"/>
      <c r="AD14" s="81"/>
      <c r="AE14" s="81"/>
      <c r="AF14" s="81"/>
      <c r="AG14" s="81"/>
      <c r="AH14" s="82"/>
    </row>
    <row r="15" spans="1:34" x14ac:dyDescent="0.25">
      <c r="Q15" s="77" t="s">
        <v>240</v>
      </c>
      <c r="T15" s="84" t="s">
        <v>183</v>
      </c>
      <c r="U15" s="85" t="s">
        <v>182</v>
      </c>
      <c r="V15" s="88" t="s">
        <v>214</v>
      </c>
      <c r="Z15" s="80" t="s">
        <v>99</v>
      </c>
      <c r="AA15" s="81"/>
      <c r="AB15" s="81"/>
      <c r="AC15" s="81"/>
      <c r="AD15" s="81"/>
      <c r="AE15" s="81"/>
      <c r="AF15" s="81"/>
      <c r="AG15" s="81"/>
      <c r="AH15" s="82"/>
    </row>
    <row r="16" spans="1:34" x14ac:dyDescent="0.25">
      <c r="T16" s="84" t="s">
        <v>183</v>
      </c>
      <c r="U16" s="92" t="s">
        <v>227</v>
      </c>
      <c r="V16" s="88" t="s">
        <v>215</v>
      </c>
      <c r="Z16" s="84" t="s">
        <v>105</v>
      </c>
      <c r="AA16" s="85"/>
      <c r="AB16" s="85"/>
      <c r="AC16" s="85"/>
      <c r="AD16" s="85"/>
      <c r="AE16" s="85"/>
      <c r="AF16" s="85"/>
      <c r="AG16" s="85"/>
      <c r="AH16" s="86"/>
    </row>
    <row r="17" spans="19:37" x14ac:dyDescent="0.25">
      <c r="V17" s="88" t="s">
        <v>216</v>
      </c>
    </row>
    <row r="18" spans="19:37" x14ac:dyDescent="0.25">
      <c r="V18" s="88" t="s">
        <v>95</v>
      </c>
      <c r="Z18" s="83" t="s">
        <v>172</v>
      </c>
      <c r="AA18" s="79"/>
      <c r="AJ18" s="83" t="s">
        <v>235</v>
      </c>
      <c r="AK18" s="79"/>
    </row>
    <row r="19" spans="19:37" x14ac:dyDescent="0.25">
      <c r="V19" s="88" t="s">
        <v>92</v>
      </c>
      <c r="Z19" s="80" t="s">
        <v>173</v>
      </c>
      <c r="AA19" s="89" t="s">
        <v>176</v>
      </c>
      <c r="AJ19" s="80" t="s">
        <v>232</v>
      </c>
      <c r="AK19" s="89" t="s">
        <v>257</v>
      </c>
    </row>
    <row r="20" spans="19:37" x14ac:dyDescent="0.25">
      <c r="V20" s="88" t="s">
        <v>217</v>
      </c>
      <c r="Z20" s="80" t="s">
        <v>259</v>
      </c>
      <c r="AA20" s="89" t="s">
        <v>260</v>
      </c>
      <c r="AJ20" s="80" t="s">
        <v>233</v>
      </c>
      <c r="AK20" s="89" t="s">
        <v>234</v>
      </c>
    </row>
    <row r="21" spans="19:37" x14ac:dyDescent="0.25">
      <c r="S21" s="87" t="s">
        <v>153</v>
      </c>
      <c r="V21" s="88" t="s">
        <v>218</v>
      </c>
      <c r="Z21" s="84" t="s">
        <v>174</v>
      </c>
      <c r="AA21" s="91" t="s">
        <v>221</v>
      </c>
      <c r="AJ21" s="80" t="s">
        <v>175</v>
      </c>
      <c r="AK21" s="89" t="s">
        <v>177</v>
      </c>
    </row>
    <row r="22" spans="19:37" x14ac:dyDescent="0.25">
      <c r="S22" s="88" t="s">
        <v>183</v>
      </c>
      <c r="V22" s="90" t="s">
        <v>219</v>
      </c>
      <c r="AJ22" s="134" t="s">
        <v>255</v>
      </c>
      <c r="AK22" s="91" t="s">
        <v>256</v>
      </c>
    </row>
    <row r="23" spans="19:37" x14ac:dyDescent="0.25">
      <c r="S23" s="90" t="s">
        <v>150</v>
      </c>
      <c r="Z23" s="78"/>
      <c r="AA23" s="94"/>
    </row>
    <row r="24" spans="19:37" x14ac:dyDescent="0.25">
      <c r="Z24" s="119"/>
      <c r="AA24" s="95"/>
      <c r="AF24" s="83" t="s">
        <v>249</v>
      </c>
      <c r="AG24" s="79"/>
    </row>
    <row r="25" spans="19:37" x14ac:dyDescent="0.25">
      <c r="S25" s="298" t="s">
        <v>114</v>
      </c>
      <c r="T25" s="299"/>
      <c r="U25" s="299"/>
      <c r="V25" s="79"/>
      <c r="Z25" s="81"/>
      <c r="AA25" s="95"/>
      <c r="AF25" s="80" t="s">
        <v>173</v>
      </c>
      <c r="AG25" s="89" t="s">
        <v>250</v>
      </c>
    </row>
    <row r="26" spans="19:37" x14ac:dyDescent="0.25">
      <c r="S26" s="80" t="s">
        <v>115</v>
      </c>
      <c r="T26" s="81" t="s">
        <v>111</v>
      </c>
      <c r="U26" s="82" t="s">
        <v>264</v>
      </c>
      <c r="AF26" s="80" t="s">
        <v>259</v>
      </c>
      <c r="AG26" s="89" t="s">
        <v>261</v>
      </c>
    </row>
    <row r="27" spans="19:37" x14ac:dyDescent="0.25">
      <c r="S27" s="80" t="s">
        <v>116</v>
      </c>
      <c r="T27" s="81" t="s">
        <v>122</v>
      </c>
      <c r="U27" s="82" t="s">
        <v>264</v>
      </c>
      <c r="V27" s="92" t="s">
        <v>265</v>
      </c>
      <c r="W27" s="92" t="s">
        <v>266</v>
      </c>
      <c r="X27" s="92" t="s">
        <v>267</v>
      </c>
      <c r="Y27" s="82" t="s">
        <v>268</v>
      </c>
      <c r="AF27" s="84" t="s">
        <v>174</v>
      </c>
      <c r="AG27" s="91" t="s">
        <v>251</v>
      </c>
    </row>
    <row r="28" spans="19:37" x14ac:dyDescent="0.25">
      <c r="S28" s="80" t="s">
        <v>117</v>
      </c>
      <c r="T28" s="81" t="s">
        <v>123</v>
      </c>
      <c r="U28" s="82" t="s">
        <v>154</v>
      </c>
    </row>
    <row r="29" spans="19:37" x14ac:dyDescent="0.25">
      <c r="S29" s="80" t="s">
        <v>157</v>
      </c>
      <c r="T29" s="81" t="s">
        <v>185</v>
      </c>
      <c r="U29" s="82" t="s">
        <v>154</v>
      </c>
      <c r="V29" s="77" t="s">
        <v>158</v>
      </c>
      <c r="W29" s="77" t="s">
        <v>160</v>
      </c>
      <c r="X29" s="77" t="s">
        <v>159</v>
      </c>
      <c r="Y29" s="77" t="s">
        <v>158</v>
      </c>
    </row>
    <row r="30" spans="19:37" x14ac:dyDescent="0.25">
      <c r="S30" s="80" t="s">
        <v>92</v>
      </c>
      <c r="T30" s="81" t="s">
        <v>124</v>
      </c>
      <c r="U30" s="82" t="s">
        <v>155</v>
      </c>
      <c r="V30" s="82" t="s">
        <v>156</v>
      </c>
      <c r="W30" s="92" t="s">
        <v>164</v>
      </c>
      <c r="X30" s="92" t="s">
        <v>165</v>
      </c>
      <c r="Y30" s="92" t="s">
        <v>163</v>
      </c>
      <c r="Z30" s="92" t="s">
        <v>161</v>
      </c>
      <c r="AA30" s="92" t="s">
        <v>162</v>
      </c>
    </row>
    <row r="31" spans="19:37" x14ac:dyDescent="0.25">
      <c r="S31" s="80" t="s">
        <v>118</v>
      </c>
      <c r="T31" s="81" t="s">
        <v>125</v>
      </c>
      <c r="U31" s="82" t="s">
        <v>156</v>
      </c>
      <c r="V31" s="92" t="s">
        <v>164</v>
      </c>
      <c r="W31" s="92" t="s">
        <v>165</v>
      </c>
      <c r="X31" s="92" t="s">
        <v>166</v>
      </c>
      <c r="Y31" s="92" t="s">
        <v>167</v>
      </c>
      <c r="Z31" s="92" t="s">
        <v>162</v>
      </c>
    </row>
    <row r="32" spans="19:37" x14ac:dyDescent="0.25">
      <c r="S32" s="80" t="s">
        <v>119</v>
      </c>
      <c r="T32" s="81" t="s">
        <v>126</v>
      </c>
      <c r="U32" s="82" t="s">
        <v>156</v>
      </c>
      <c r="V32" s="92" t="s">
        <v>164</v>
      </c>
      <c r="W32" s="92" t="s">
        <v>165</v>
      </c>
      <c r="X32" s="92" t="s">
        <v>168</v>
      </c>
      <c r="Y32" s="92" t="s">
        <v>169</v>
      </c>
      <c r="Z32" s="92" t="s">
        <v>162</v>
      </c>
    </row>
    <row r="33" spans="19:26" x14ac:dyDescent="0.25">
      <c r="S33" s="80" t="s">
        <v>120</v>
      </c>
      <c r="T33" s="81" t="s">
        <v>127</v>
      </c>
      <c r="U33" s="82" t="s">
        <v>156</v>
      </c>
      <c r="V33" s="92" t="s">
        <v>164</v>
      </c>
      <c r="W33" s="92" t="s">
        <v>165</v>
      </c>
      <c r="X33" s="92" t="s">
        <v>170</v>
      </c>
      <c r="Y33" s="92" t="s">
        <v>171</v>
      </c>
      <c r="Z33" s="92" t="s">
        <v>162</v>
      </c>
    </row>
    <row r="34" spans="19:26" x14ac:dyDescent="0.25">
      <c r="S34" s="84" t="s">
        <v>95</v>
      </c>
      <c r="T34" s="85"/>
      <c r="U34" s="85"/>
      <c r="V34" s="86"/>
    </row>
  </sheetData>
  <sheetProtection algorithmName="SHA-512" hashValue="kkRxLk5BV3zXnA1tU7PAgb25aGAgA+S/SvA6qGOVXfH1gqYZwt/l3Mc842F1K46o44woamnRKpZ6gy7wqWfHlw==" saltValue="SQhoWtbMmtoUeP0olcK8pw==" spinCount="100000" sheet="1" objects="1" scenarios="1"/>
  <sortState xmlns:xlrd2="http://schemas.microsoft.com/office/spreadsheetml/2017/richdata2" ref="Q12:Q15">
    <sortCondition ref="Q12"/>
  </sortState>
  <mergeCells count="2">
    <mergeCell ref="S25:U25"/>
    <mergeCell ref="S1:U1"/>
  </mergeCells>
  <phoneticPr fontId="5" type="noConversion"/>
  <hyperlinks>
    <hyperlink ref="AA19" r:id="rId1" display="https://teams.microsoft.com/l/chat/0/0?users=angela.dodson@firsthomebank.com" xr:uid="{9C9076A5-D192-41B6-A043-C53417900B86}"/>
    <hyperlink ref="AK21" r:id="rId2" xr:uid="{58A65ADA-7D73-4D0D-AA57-DE9F4FCDCF10}"/>
    <hyperlink ref="AA21" r:id="rId3" xr:uid="{0739F152-396A-463C-AACD-501A50E77FC8}"/>
    <hyperlink ref="AK20" r:id="rId4" xr:uid="{F00986B6-7813-4354-A696-D7B12FE802CD}"/>
    <hyperlink ref="AG25" r:id="rId5" xr:uid="{D6297C41-B9F8-4788-BCC5-AE4635F0B0E1}"/>
    <hyperlink ref="AG26" r:id="rId6" xr:uid="{3C03ED01-FAAD-445A-96BA-4EEA920DADBD}"/>
    <hyperlink ref="AG27" r:id="rId7" xr:uid="{93BA2C3E-3EC3-4236-8EE3-FF542047AE6B}"/>
    <hyperlink ref="AK22" r:id="rId8" xr:uid="{29203BF1-BA66-4A7F-946A-3E66F37B43F7}"/>
    <hyperlink ref="AK19" r:id="rId9" xr:uid="{999871EA-88C3-45FC-B896-0D8EE10A2FF6}"/>
    <hyperlink ref="AA20" r:id="rId10" xr:uid="{5974D158-A74D-4076-94B2-97D6C65DBB97}"/>
  </hyperlinks>
  <pageMargins left="0.7" right="0.7" top="0.75" bottom="0.75" header="0.3" footer="0.3"/>
  <pageSetup orientation="portrait" r:id="rId1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5DF7C-AAA1-4356-B1E4-55FA08DDE66C}">
  <dimension ref="A1:A54"/>
  <sheetViews>
    <sheetView workbookViewId="0">
      <selection activeCell="A2" sqref="A2"/>
    </sheetView>
  </sheetViews>
  <sheetFormatPr defaultRowHeight="15" x14ac:dyDescent="0.25"/>
  <sheetData>
    <row r="1" spans="1:1" x14ac:dyDescent="0.25">
      <c r="A1" t="s">
        <v>35</v>
      </c>
    </row>
    <row r="2" spans="1:1" x14ac:dyDescent="0.25">
      <c r="A2" t="str">
        <f>'Payroll Cost Adjustment'!A3</f>
        <v>EMPLOYEE #1</v>
      </c>
    </row>
    <row r="3" spans="1:1" x14ac:dyDescent="0.25">
      <c r="A3" t="str">
        <f>'Payroll Cost Adjustment'!A13</f>
        <v>EMPLOYEE #1</v>
      </c>
    </row>
    <row r="4" spans="1:1" x14ac:dyDescent="0.25">
      <c r="A4" t="str">
        <f>'Payroll Cost Adjustment'!A23</f>
        <v>EMPLOYEE #1</v>
      </c>
    </row>
    <row r="5" spans="1:1" x14ac:dyDescent="0.25">
      <c r="A5" t="str">
        <f>'Payroll Cost Adjustment'!A33</f>
        <v>EMPLOYEE #1</v>
      </c>
    </row>
    <row r="6" spans="1:1" x14ac:dyDescent="0.25">
      <c r="A6" t="str">
        <f>'Payroll Cost Adjustment'!A43</f>
        <v>EMPLOYEE #1</v>
      </c>
    </row>
    <row r="7" spans="1:1" x14ac:dyDescent="0.25">
      <c r="A7" t="str">
        <f>'Payroll Cost Adjustment'!A53</f>
        <v>EMPLOYEE #1</v>
      </c>
    </row>
    <row r="8" spans="1:1" x14ac:dyDescent="0.25">
      <c r="A8" t="str">
        <f>'Payroll Cost Adjustment'!A63</f>
        <v>EMPLOYEE #1</v>
      </c>
    </row>
    <row r="9" spans="1:1" x14ac:dyDescent="0.25">
      <c r="A9" t="str">
        <f>'Payroll Cost Adjustment'!A73</f>
        <v>EMPLOYEE #1</v>
      </c>
    </row>
    <row r="10" spans="1:1" x14ac:dyDescent="0.25">
      <c r="A10" t="str">
        <f>'Payroll Cost Adjustment'!A83</f>
        <v>EMPLOYEE #1</v>
      </c>
    </row>
    <row r="11" spans="1:1" x14ac:dyDescent="0.25">
      <c r="A11" t="str">
        <f>'Payroll Cost Adjustment'!A93</f>
        <v>EMPLOYEE #1</v>
      </c>
    </row>
    <row r="12" spans="1:1" x14ac:dyDescent="0.25">
      <c r="A12" t="str">
        <f>'Payroll Cost Adjustment'!F3</f>
        <v>EMPLOYEE #1</v>
      </c>
    </row>
    <row r="13" spans="1:1" x14ac:dyDescent="0.25">
      <c r="A13" t="str">
        <f>'Payroll Cost Adjustment'!F13</f>
        <v>EMPLOYEE #1</v>
      </c>
    </row>
    <row r="14" spans="1:1" x14ac:dyDescent="0.25">
      <c r="A14" t="str">
        <f>'Payroll Cost Adjustment'!F23</f>
        <v>EMPLOYEE #1</v>
      </c>
    </row>
    <row r="15" spans="1:1" x14ac:dyDescent="0.25">
      <c r="A15" t="str">
        <f>'Payroll Cost Adjustment'!F33</f>
        <v>EMPLOYEE #1</v>
      </c>
    </row>
    <row r="16" spans="1:1" x14ac:dyDescent="0.25">
      <c r="A16" t="str">
        <f>'Payroll Cost Adjustment'!F43</f>
        <v>EMPLOYEE #1</v>
      </c>
    </row>
    <row r="17" spans="1:1" x14ac:dyDescent="0.25">
      <c r="A17" t="str">
        <f>'Payroll Cost Adjustment'!F53</f>
        <v>EMPLOYEE #1</v>
      </c>
    </row>
    <row r="18" spans="1:1" x14ac:dyDescent="0.25">
      <c r="A18" t="str">
        <f>'Payroll Cost Adjustment'!F63</f>
        <v>EMPLOYEE #1</v>
      </c>
    </row>
    <row r="19" spans="1:1" x14ac:dyDescent="0.25">
      <c r="A19" t="str">
        <f>'Payroll Cost Adjustment'!F73</f>
        <v>EMPLOYEE #1</v>
      </c>
    </row>
    <row r="20" spans="1:1" x14ac:dyDescent="0.25">
      <c r="A20" t="str">
        <f>'Payroll Cost Adjustment'!F83</f>
        <v>EMPLOYEE #1</v>
      </c>
    </row>
    <row r="21" spans="1:1" x14ac:dyDescent="0.25">
      <c r="A21" t="str">
        <f>'Payroll Cost Adjustment'!F93</f>
        <v>EMPLOYEE #1</v>
      </c>
    </row>
    <row r="22" spans="1:1" x14ac:dyDescent="0.25">
      <c r="A22" t="str">
        <f>'Payroll Cost Adjustment'!K3</f>
        <v>EMPLOYEE #1</v>
      </c>
    </row>
    <row r="23" spans="1:1" x14ac:dyDescent="0.25">
      <c r="A23" t="str">
        <f>'Payroll Cost Adjustment'!K13</f>
        <v>EMPLOYEE #1</v>
      </c>
    </row>
    <row r="24" spans="1:1" x14ac:dyDescent="0.25">
      <c r="A24" t="str">
        <f>'Payroll Cost Adjustment'!K23</f>
        <v>EMPLOYEE #1</v>
      </c>
    </row>
    <row r="25" spans="1:1" x14ac:dyDescent="0.25">
      <c r="A25" t="str">
        <f>'Payroll Cost Adjustment'!K33</f>
        <v>EMPLOYEE #1</v>
      </c>
    </row>
    <row r="26" spans="1:1" x14ac:dyDescent="0.25">
      <c r="A26" t="str">
        <f>'Payroll Cost Adjustment'!K53</f>
        <v>EMPLOYEE #1</v>
      </c>
    </row>
    <row r="27" spans="1:1" x14ac:dyDescent="0.25">
      <c r="A27" t="str">
        <f>'Payroll Cost Adjustment'!K43</f>
        <v>EMPLOYEE #1</v>
      </c>
    </row>
    <row r="28" spans="1:1" x14ac:dyDescent="0.25">
      <c r="A28" t="str">
        <f>'Payroll Cost Adjustment'!K63</f>
        <v>EMPLOYEE #1</v>
      </c>
    </row>
    <row r="29" spans="1:1" x14ac:dyDescent="0.25">
      <c r="A29" t="str">
        <f>'Payroll Cost Adjustment'!K73</f>
        <v>EMPLOYEE #1</v>
      </c>
    </row>
    <row r="30" spans="1:1" x14ac:dyDescent="0.25">
      <c r="A30" t="str">
        <f>'Payroll Cost Adjustment'!K83</f>
        <v>EMPLOYEE #1</v>
      </c>
    </row>
    <row r="31" spans="1:1" x14ac:dyDescent="0.25">
      <c r="A31" t="str">
        <f>'Payroll Cost Adjustment'!K93</f>
        <v>EMPLOYEE #1</v>
      </c>
    </row>
    <row r="32" spans="1:1" x14ac:dyDescent="0.25">
      <c r="A32" t="str">
        <f>'Payroll Cost Adjustment'!P3</f>
        <v>EMPLOYEE #1</v>
      </c>
    </row>
    <row r="33" spans="1:1" x14ac:dyDescent="0.25">
      <c r="A33" t="str">
        <f>'Payroll Cost Adjustment'!P13</f>
        <v>EMPLOYEE #1</v>
      </c>
    </row>
    <row r="34" spans="1:1" x14ac:dyDescent="0.25">
      <c r="A34" t="str">
        <f>'Payroll Cost Adjustment'!P23</f>
        <v>EMPLOYEE #1</v>
      </c>
    </row>
    <row r="35" spans="1:1" x14ac:dyDescent="0.25">
      <c r="A35" t="str">
        <f>'Payroll Cost Adjustment'!P33</f>
        <v>EMPLOYEE #1</v>
      </c>
    </row>
    <row r="36" spans="1:1" x14ac:dyDescent="0.25">
      <c r="A36" t="str">
        <f>'Payroll Cost Adjustment'!P43</f>
        <v>EMPLOYEE #1</v>
      </c>
    </row>
    <row r="37" spans="1:1" x14ac:dyDescent="0.25">
      <c r="A37" t="str">
        <f>'Payroll Cost Adjustment'!P53</f>
        <v>EMPLOYEE #1</v>
      </c>
    </row>
    <row r="38" spans="1:1" x14ac:dyDescent="0.25">
      <c r="A38" t="str">
        <f>'Payroll Cost Adjustment'!P63</f>
        <v>EMPLOYEE #1</v>
      </c>
    </row>
    <row r="39" spans="1:1" x14ac:dyDescent="0.25">
      <c r="A39" t="str">
        <f>'Payroll Cost Adjustment'!P73</f>
        <v>EMPLOYEE #1</v>
      </c>
    </row>
    <row r="40" spans="1:1" x14ac:dyDescent="0.25">
      <c r="A40" t="str">
        <f>'Payroll Cost Adjustment'!P83</f>
        <v>EMPLOYEE #1</v>
      </c>
    </row>
    <row r="41" spans="1:1" x14ac:dyDescent="0.25">
      <c r="A41" t="str">
        <f>'Payroll Cost Adjustment'!P93</f>
        <v>EMPLOYEE #1</v>
      </c>
    </row>
    <row r="42" spans="1:1" x14ac:dyDescent="0.25">
      <c r="A42" t="str">
        <f>'Payroll Cost Adjustment'!P83</f>
        <v>EMPLOYEE #1</v>
      </c>
    </row>
    <row r="43" spans="1:1" x14ac:dyDescent="0.25">
      <c r="A43" t="str">
        <f>'Payroll Cost Adjustment'!P93</f>
        <v>EMPLOYEE #1</v>
      </c>
    </row>
    <row r="44" spans="1:1" x14ac:dyDescent="0.25">
      <c r="A44" t="str">
        <f>'Payroll Cost Adjustment'!U3</f>
        <v>EMPLOYEE #1</v>
      </c>
    </row>
    <row r="45" spans="1:1" x14ac:dyDescent="0.25">
      <c r="A45" t="str">
        <f>'Payroll Cost Adjustment'!U13</f>
        <v>EMPLOYEE #1</v>
      </c>
    </row>
    <row r="46" spans="1:1" x14ac:dyDescent="0.25">
      <c r="A46" t="str">
        <f>'Payroll Cost Adjustment'!U23</f>
        <v>EMPLOYEE #1</v>
      </c>
    </row>
    <row r="47" spans="1:1" x14ac:dyDescent="0.25">
      <c r="A47" t="str">
        <f>'Payroll Cost Adjustment'!U33</f>
        <v>EMPLOYEE #1</v>
      </c>
    </row>
    <row r="48" spans="1:1" x14ac:dyDescent="0.25">
      <c r="A48" t="str">
        <f>'Payroll Cost Adjustment'!U43</f>
        <v>EMPLOYEE #1</v>
      </c>
    </row>
    <row r="49" spans="1:1" x14ac:dyDescent="0.25">
      <c r="A49" t="str">
        <f>'Payroll Cost Adjustment'!U53</f>
        <v>EMPLOYEE #1</v>
      </c>
    </row>
    <row r="50" spans="1:1" x14ac:dyDescent="0.25">
      <c r="A50" t="str">
        <f>'Payroll Cost Adjustment'!U63</f>
        <v>EMPLOYEE #1</v>
      </c>
    </row>
    <row r="51" spans="1:1" x14ac:dyDescent="0.25">
      <c r="A51" t="str">
        <f>'Payroll Cost Adjustment'!U73</f>
        <v>EMPLOYEE #1</v>
      </c>
    </row>
    <row r="52" spans="1:1" x14ac:dyDescent="0.25">
      <c r="A52" t="str">
        <f>'Payroll Cost Adjustment'!U73</f>
        <v>EMPLOYEE #1</v>
      </c>
    </row>
    <row r="53" spans="1:1" x14ac:dyDescent="0.25">
      <c r="A53" t="str">
        <f>'Payroll Cost Adjustment'!U83</f>
        <v>EMPLOYEE #1</v>
      </c>
    </row>
    <row r="54" spans="1:1" x14ac:dyDescent="0.25">
      <c r="A54" t="str">
        <f>'Payroll Cost Adjustment'!U93</f>
        <v>EMPLOYEE #1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Eligible Payroll Cost</vt:lpstr>
      <vt:lpstr>Payroll Cost Adjustment</vt:lpstr>
      <vt:lpstr>Reviewer Worksheet</vt:lpstr>
      <vt:lpstr>Underwriting Worksheet</vt:lpstr>
      <vt:lpstr>Data Validation</vt:lpstr>
      <vt:lpstr>Forgiveness Prep Tab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Martinez</dc:creator>
  <cp:lastModifiedBy>Kristi Khonsari</cp:lastModifiedBy>
  <dcterms:created xsi:type="dcterms:W3CDTF">2021-01-18T00:57:41Z</dcterms:created>
  <dcterms:modified xsi:type="dcterms:W3CDTF">2021-03-19T12:42:32Z</dcterms:modified>
</cp:coreProperties>
</file>